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0" yWindow="460" windowWidth="25600" windowHeight="15540" tabRatio="500" firstSheet="21" activeTab="26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Distribution births" sheetId="42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Programs birth outcomes" sheetId="22" r:id="rId15"/>
    <sheet name="Programs anemia" sheetId="30" r:id="rId16"/>
    <sheet name="Programs wasting" sheetId="31" r:id="rId17"/>
    <sheet name="Programs for children" sheetId="28" r:id="rId18"/>
    <sheet name="Programs family planning" sheetId="34" r:id="rId19"/>
    <sheet name="Programs for PW" sheetId="45" r:id="rId20"/>
    <sheet name="Programs birth age" sheetId="46" r:id="rId21"/>
    <sheet name="Programs target population" sheetId="21" r:id="rId22"/>
    <sheet name="Program dependencies" sheetId="40" r:id="rId23"/>
    <sheet name="Program risk areas" sheetId="36" r:id="rId24"/>
    <sheet name="Population risk areas" sheetId="43" r:id="rId25"/>
    <sheet name="Programs cost and coverage" sheetId="20" r:id="rId26"/>
    <sheet name="Programs to include" sheetId="44" r:id="rId2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5" i="21" l="1"/>
  <c r="O35" i="21"/>
  <c r="M35" i="21"/>
  <c r="N34" i="21"/>
  <c r="O34" i="21"/>
  <c r="M34" i="21"/>
  <c r="N33" i="21"/>
  <c r="O33" i="21"/>
  <c r="M33" i="21"/>
  <c r="L35" i="21"/>
  <c r="L34" i="21"/>
  <c r="L33" i="21"/>
  <c r="L32" i="21"/>
  <c r="O26" i="21"/>
  <c r="N26" i="21"/>
  <c r="M26" i="21"/>
  <c r="L26" i="21"/>
  <c r="L27" i="21"/>
  <c r="N27" i="21"/>
  <c r="O27" i="21"/>
  <c r="M27" i="21"/>
  <c r="N30" i="21"/>
  <c r="O30" i="21"/>
  <c r="M30" i="21"/>
  <c r="L31" i="21"/>
  <c r="L30" i="21"/>
  <c r="L29" i="21"/>
  <c r="O31" i="21"/>
  <c r="N31" i="21"/>
  <c r="M31" i="21"/>
  <c r="M28" i="21"/>
  <c r="N28" i="21"/>
  <c r="O28" i="21"/>
  <c r="L28" i="21"/>
  <c r="L25" i="21"/>
  <c r="N24" i="21"/>
  <c r="O24" i="21"/>
  <c r="M24" i="21"/>
  <c r="N23" i="21"/>
  <c r="O23" i="21"/>
  <c r="M23" i="21"/>
  <c r="L24" i="21"/>
  <c r="L23" i="21"/>
  <c r="L22" i="21"/>
  <c r="M41" i="21"/>
  <c r="N41" i="21"/>
  <c r="O41" i="21"/>
  <c r="L41" i="21"/>
  <c r="M40" i="21"/>
  <c r="N40" i="21"/>
  <c r="O40" i="21"/>
  <c r="L40" i="21"/>
  <c r="F41" i="21"/>
  <c r="G41" i="21"/>
  <c r="E41" i="21"/>
  <c r="F40" i="21"/>
  <c r="G40" i="21"/>
  <c r="E40" i="21"/>
  <c r="O39" i="21"/>
  <c r="N39" i="21"/>
  <c r="M39" i="21"/>
  <c r="L39" i="21"/>
  <c r="F39" i="21"/>
  <c r="G39" i="21"/>
  <c r="E39" i="21"/>
  <c r="D53" i="21"/>
  <c r="E53" i="21"/>
  <c r="F53" i="21"/>
  <c r="G53" i="21"/>
  <c r="H53" i="21"/>
  <c r="I53" i="21"/>
  <c r="J53" i="21"/>
  <c r="K53" i="21"/>
  <c r="L53" i="21"/>
  <c r="M53" i="21"/>
  <c r="N53" i="21"/>
  <c r="O53" i="21"/>
  <c r="C53" i="21"/>
  <c r="I20" i="21"/>
  <c r="J20" i="21"/>
  <c r="K20" i="21"/>
  <c r="H20" i="21"/>
  <c r="I19" i="21"/>
  <c r="J19" i="21"/>
  <c r="K19" i="21"/>
  <c r="H19" i="21"/>
  <c r="I17" i="21"/>
  <c r="J17" i="21"/>
  <c r="K17" i="21"/>
  <c r="H17" i="21"/>
  <c r="I15" i="21"/>
  <c r="J15" i="21"/>
  <c r="K15" i="21"/>
  <c r="H15" i="21"/>
  <c r="E11" i="21"/>
  <c r="F11" i="21"/>
  <c r="G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E2" i="46"/>
  <c r="D2" i="46"/>
  <c r="C2" i="46"/>
  <c r="M37" i="21"/>
  <c r="N37" i="21"/>
  <c r="O37" i="21"/>
  <c r="L37" i="21"/>
  <c r="C10" i="4"/>
  <c r="O3" i="29"/>
  <c r="O2" i="29"/>
  <c r="D3" i="29"/>
  <c r="D2" i="29"/>
  <c r="E3" i="29"/>
  <c r="E2" i="29"/>
  <c r="F3" i="29"/>
  <c r="F2" i="29"/>
  <c r="G3" i="29"/>
  <c r="G2" i="29"/>
  <c r="H3" i="29"/>
  <c r="H2" i="29"/>
  <c r="I3" i="29"/>
  <c r="I2" i="29"/>
  <c r="J3" i="29"/>
  <c r="J2" i="29"/>
  <c r="K3" i="29"/>
  <c r="K2" i="29"/>
  <c r="L3" i="29"/>
  <c r="L2" i="29"/>
  <c r="M3" i="29"/>
  <c r="M2" i="29"/>
  <c r="N3" i="29"/>
  <c r="N2" i="29"/>
  <c r="C3" i="29"/>
  <c r="C2" i="29"/>
  <c r="C40" i="1"/>
  <c r="C41" i="1"/>
  <c r="C42" i="1"/>
  <c r="C39" i="1"/>
  <c r="C46" i="1"/>
  <c r="C47" i="1"/>
  <c r="C48" i="1"/>
  <c r="C45" i="1"/>
  <c r="C6" i="1"/>
  <c r="F4" i="32"/>
  <c r="F7" i="32"/>
  <c r="F10" i="32"/>
  <c r="F13" i="32"/>
  <c r="E4" i="32"/>
  <c r="E7" i="32"/>
  <c r="E10" i="32"/>
  <c r="D4" i="32"/>
  <c r="D7" i="32"/>
  <c r="E2" i="34"/>
  <c r="E3" i="34"/>
  <c r="E4" i="34"/>
  <c r="E5" i="34"/>
  <c r="E6" i="34"/>
  <c r="E7" i="34"/>
  <c r="E8" i="34"/>
  <c r="E9" i="34"/>
  <c r="E10" i="34"/>
  <c r="D6" i="20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D15" i="22"/>
  <c r="C15" i="22"/>
  <c r="D13" i="22"/>
  <c r="C13" i="22"/>
  <c r="D5" i="20"/>
  <c r="B6" i="7"/>
  <c r="C6" i="7"/>
  <c r="D6" i="7"/>
  <c r="E6" i="7"/>
  <c r="F6" i="7"/>
  <c r="D43" i="20"/>
  <c r="B5" i="7"/>
  <c r="C5" i="7"/>
  <c r="D5" i="7"/>
  <c r="E5" i="7"/>
  <c r="F5" i="7"/>
  <c r="D42" i="20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>
  <authors>
    <author>Sam</author>
    <author>Microsoft Office User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6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>
  <authors>
    <author>Ruth</author>
    <author>Janka Petravic</author>
    <author>Sam</author>
    <author xml:space="preserve"> Janka Petravic</author>
  </authors>
  <commentList>
    <comment ref="E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fraction zinc deficient 0.3</t>
        </r>
      </text>
    </comment>
    <comment ref="E6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D11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3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9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B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D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29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B31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1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42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  <comment ref="D4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up wash unit costs
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>
  <authors>
    <author>Sam</author>
    <author xml:space="preserve"> Janka Petravic</author>
  </authors>
  <commentList>
    <comment ref="A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4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<sst xmlns="http://schemas.openxmlformats.org/spreadsheetml/2006/main" count="1243" uniqueCount="269">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</sst>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7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29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3" fillId="6" borderId="1" xfId="0" applyFont="1" applyFill="1" applyBorder="1" applyAlignment="1"/>
    <xf numFmtId="0" fontId="4" fillId="7" borderId="0" xfId="0" applyFont="1" applyFill="1" applyAlignment="1"/>
    <xf numFmtId="0" fontId="4" fillId="7" borderId="0" xfId="0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8" borderId="0" xfId="0" applyFont="1" applyFill="1" applyAlignment="1"/>
    <xf numFmtId="0" fontId="13" fillId="8" borderId="0" xfId="0" applyFont="1" applyFill="1" applyAlignment="1"/>
    <xf numFmtId="0" fontId="0" fillId="8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7" borderId="0" xfId="0" applyFont="1" applyFill="1" applyAlignment="1"/>
    <xf numFmtId="0" fontId="4" fillId="10" borderId="0" xfId="0" applyFont="1" applyFill="1" applyAlignment="1"/>
    <xf numFmtId="2" fontId="4" fillId="4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1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3" fillId="0" borderId="0" xfId="0" applyFont="1" applyFill="1" applyBorder="1" applyAlignment="1"/>
    <xf numFmtId="2" fontId="0" fillId="7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0" fontId="13" fillId="2" borderId="1" xfId="0" applyNumberFormat="1" applyFont="1" applyFill="1" applyBorder="1" applyAlignment="1"/>
    <xf numFmtId="0" fontId="13" fillId="6" borderId="1" xfId="0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1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8" borderId="0" xfId="0" applyFont="1" applyFill="1" applyBorder="1" applyAlignment="1">
      <alignment horizontal="right" wrapText="1"/>
    </xf>
    <xf numFmtId="0" fontId="4" fillId="12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left" vertical="top" wrapText="1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8" borderId="0" xfId="0" applyFont="1" applyFill="1" applyBorder="1" applyAlignment="1">
      <alignment horizontal="right"/>
    </xf>
    <xf numFmtId="0" fontId="4" fillId="12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Fill="1" applyBorder="1" applyAlignment="1"/>
    <xf numFmtId="0" fontId="13" fillId="0" borderId="0" xfId="0" applyFont="1" applyAlignment="1">
      <alignment horizontal="center" vertical="center"/>
    </xf>
    <xf numFmtId="0" fontId="0" fillId="13" borderId="0" xfId="0" applyFont="1" applyFill="1" applyAlignment="1"/>
  </cellXfs>
  <cellStyles count="67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7"/>
  <sheetViews>
    <sheetView workbookViewId="0">
      <selection activeCell="C9" sqref="C9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99</v>
      </c>
      <c r="B1" s="10" t="s">
        <v>58</v>
      </c>
      <c r="C1" s="10" t="s">
        <v>100</v>
      </c>
    </row>
    <row r="2" spans="1:3" ht="16" customHeight="1" x14ac:dyDescent="0.15">
      <c r="A2" s="1" t="s">
        <v>59</v>
      </c>
      <c r="B2" t="s">
        <v>0</v>
      </c>
      <c r="C2" s="101">
        <v>2016</v>
      </c>
    </row>
    <row r="3" spans="1:3" ht="15.75" customHeight="1" x14ac:dyDescent="0.15">
      <c r="B3" s="4" t="s">
        <v>1</v>
      </c>
      <c r="C3" s="16">
        <v>15204000</v>
      </c>
    </row>
    <row r="4" spans="1:3" ht="15.75" customHeight="1" x14ac:dyDescent="0.15">
      <c r="B4" s="4" t="s">
        <v>3</v>
      </c>
      <c r="C4" s="16">
        <v>3118117</v>
      </c>
    </row>
    <row r="5" spans="1:3" ht="15.75" customHeight="1" x14ac:dyDescent="0.15">
      <c r="B5" s="30" t="s">
        <v>106</v>
      </c>
      <c r="C5" s="41">
        <v>171684000</v>
      </c>
    </row>
    <row r="6" spans="1:3" ht="15.75" customHeight="1" x14ac:dyDescent="0.15">
      <c r="B6" s="4" t="s">
        <v>4</v>
      </c>
      <c r="C6" s="18">
        <f>(C4+C4*C20/(1000-C20))/(1-C19)</f>
        <v>3677298.8269880489</v>
      </c>
    </row>
    <row r="7" spans="1:3" ht="15.75" customHeight="1" x14ac:dyDescent="0.15">
      <c r="B7" s="30" t="s">
        <v>66</v>
      </c>
      <c r="C7" s="19">
        <v>0.35199999999999998</v>
      </c>
    </row>
    <row r="8" spans="1:3" ht="15.75" customHeight="1" x14ac:dyDescent="0.15">
      <c r="B8" s="4" t="s">
        <v>65</v>
      </c>
      <c r="C8" s="17">
        <v>0.36</v>
      </c>
    </row>
    <row r="9" spans="1:3" ht="15.75" customHeight="1" x14ac:dyDescent="0.15">
      <c r="B9" s="30" t="s">
        <v>67</v>
      </c>
      <c r="C9" s="19">
        <v>0.1</v>
      </c>
    </row>
    <row r="10" spans="1:3" ht="15.75" customHeight="1" x14ac:dyDescent="0.15">
      <c r="B10" s="4" t="s">
        <v>177</v>
      </c>
      <c r="C10" s="67">
        <v>0.5</v>
      </c>
    </row>
    <row r="11" spans="1:3" ht="15.75" customHeight="1" x14ac:dyDescent="0.15">
      <c r="B11" s="4" t="s">
        <v>178</v>
      </c>
      <c r="C11" s="67">
        <v>0.3</v>
      </c>
    </row>
    <row r="12" spans="1:3" ht="15.75" customHeight="1" x14ac:dyDescent="0.15">
      <c r="B12" s="4" t="s">
        <v>179</v>
      </c>
      <c r="C12" s="67">
        <v>0.1</v>
      </c>
    </row>
    <row r="13" spans="1:3" ht="13" x14ac:dyDescent="0.15">
      <c r="B13" t="s">
        <v>220</v>
      </c>
      <c r="C13" s="46">
        <v>0.9</v>
      </c>
    </row>
    <row r="14" spans="1:3" ht="13" x14ac:dyDescent="0.15">
      <c r="B14" t="s">
        <v>221</v>
      </c>
      <c r="C14" s="46">
        <v>0.4</v>
      </c>
    </row>
    <row r="15" spans="1:3" ht="13" x14ac:dyDescent="0.15">
      <c r="B15" s="4" t="s">
        <v>226</v>
      </c>
      <c r="C15" s="67">
        <v>0.2</v>
      </c>
    </row>
    <row r="16" spans="1:3" ht="13" x14ac:dyDescent="0.15">
      <c r="B16" s="4"/>
      <c r="C16" s="56"/>
    </row>
    <row r="17" spans="1:3" ht="13" x14ac:dyDescent="0.15">
      <c r="B17" s="4"/>
      <c r="C17" s="56"/>
    </row>
    <row r="18" spans="1:3" ht="15.75" customHeight="1" x14ac:dyDescent="0.15">
      <c r="A18" s="10" t="s">
        <v>109</v>
      </c>
      <c r="B18" t="s">
        <v>188</v>
      </c>
      <c r="C18" s="19">
        <v>176</v>
      </c>
    </row>
    <row r="19" spans="1:3" ht="15.75" customHeight="1" x14ac:dyDescent="0.15">
      <c r="B19" t="s">
        <v>107</v>
      </c>
      <c r="C19" s="19">
        <v>0.13</v>
      </c>
    </row>
    <row r="20" spans="1:3" ht="15.75" customHeight="1" x14ac:dyDescent="0.15">
      <c r="B20" t="s">
        <v>108</v>
      </c>
      <c r="C20" s="19">
        <v>25.36</v>
      </c>
    </row>
    <row r="21" spans="1:3" ht="15.75" customHeight="1" x14ac:dyDescent="0.15">
      <c r="B21" t="s">
        <v>189</v>
      </c>
      <c r="C21" s="19">
        <v>25.4</v>
      </c>
    </row>
    <row r="22" spans="1:3" ht="15.75" customHeight="1" x14ac:dyDescent="0.15">
      <c r="B22" t="s">
        <v>190</v>
      </c>
      <c r="C22" s="19">
        <v>34.68</v>
      </c>
    </row>
    <row r="23" spans="1:3" ht="15.75" customHeight="1" x14ac:dyDescent="0.15">
      <c r="B23" t="s">
        <v>191</v>
      </c>
      <c r="C23" s="19">
        <v>39.32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69</v>
      </c>
      <c r="B26" s="30" t="s">
        <v>71</v>
      </c>
      <c r="C26" s="34">
        <v>0.3</v>
      </c>
    </row>
    <row r="27" spans="1:3" ht="15.75" customHeight="1" x14ac:dyDescent="0.15">
      <c r="B27" s="30" t="s">
        <v>94</v>
      </c>
      <c r="C27" s="34">
        <v>0.8</v>
      </c>
    </row>
    <row r="28" spans="1:3" ht="15.75" customHeight="1" x14ac:dyDescent="0.15">
      <c r="B28" s="30" t="s">
        <v>95</v>
      </c>
      <c r="C28" s="34">
        <v>0.12</v>
      </c>
    </row>
    <row r="29" spans="1:3" ht="15.75" customHeight="1" x14ac:dyDescent="0.15">
      <c r="B29" s="30" t="s">
        <v>96</v>
      </c>
      <c r="C29" s="34">
        <v>0.05</v>
      </c>
    </row>
    <row r="30" spans="1:3" ht="15.75" customHeight="1" x14ac:dyDescent="0.15">
      <c r="B30" s="30" t="s">
        <v>70</v>
      </c>
      <c r="C30" s="34">
        <v>0.05</v>
      </c>
    </row>
    <row r="32" spans="1:3" ht="15.75" customHeight="1" x14ac:dyDescent="0.15">
      <c r="B32" s="30"/>
    </row>
    <row r="33" spans="1:5" ht="15.75" customHeight="1" x14ac:dyDescent="0.2">
      <c r="A33" s="10" t="s">
        <v>105</v>
      </c>
      <c r="B33" s="89" t="s">
        <v>111</v>
      </c>
      <c r="C33" s="39">
        <v>8634000</v>
      </c>
      <c r="D33" s="98"/>
      <c r="E33" s="97"/>
    </row>
    <row r="34" spans="1:5" ht="15" customHeight="1" x14ac:dyDescent="0.2">
      <c r="B34" s="89" t="s">
        <v>112</v>
      </c>
      <c r="C34" s="39">
        <v>13550000</v>
      </c>
      <c r="D34" s="98"/>
      <c r="E34" s="98"/>
    </row>
    <row r="35" spans="1:5" ht="15.75" customHeight="1" x14ac:dyDescent="0.2">
      <c r="B35" s="89" t="s">
        <v>113</v>
      </c>
      <c r="C35" s="99">
        <v>12394000</v>
      </c>
      <c r="D35" s="98"/>
    </row>
    <row r="36" spans="1:5" ht="15.75" customHeight="1" x14ac:dyDescent="0.2">
      <c r="B36" s="89" t="s">
        <v>114</v>
      </c>
      <c r="C36" s="39">
        <v>9148000</v>
      </c>
      <c r="D36" s="98"/>
    </row>
    <row r="37" spans="1:5" ht="15.75" customHeight="1" x14ac:dyDescent="0.2">
      <c r="B37" s="89"/>
      <c r="C37" s="100"/>
      <c r="D37" s="98"/>
    </row>
    <row r="38" spans="1:5" ht="15.75" customHeight="1" x14ac:dyDescent="0.2">
      <c r="B38" s="89"/>
      <c r="C38" s="100"/>
      <c r="D38" s="98"/>
    </row>
    <row r="39" spans="1:5" ht="15.75" customHeight="1" x14ac:dyDescent="0.2">
      <c r="A39" s="10" t="s">
        <v>209</v>
      </c>
      <c r="B39" s="89" t="s">
        <v>111</v>
      </c>
      <c r="C39" s="39">
        <f>C33-C45</f>
        <v>7531583.5695012193</v>
      </c>
      <c r="D39" s="98"/>
      <c r="E39" s="97"/>
    </row>
    <row r="40" spans="1:5" ht="15" customHeight="1" x14ac:dyDescent="0.2">
      <c r="B40" s="89" t="s">
        <v>112</v>
      </c>
      <c r="C40" s="39">
        <f t="shared" ref="C40:C42" si="0">C34-C46</f>
        <v>11617337.925466225</v>
      </c>
      <c r="D40" s="98"/>
      <c r="E40" s="98"/>
    </row>
    <row r="41" spans="1:5" ht="15.75" customHeight="1" x14ac:dyDescent="0.2">
      <c r="B41" s="89" t="s">
        <v>113</v>
      </c>
      <c r="C41" s="39">
        <f t="shared" si="0"/>
        <v>11797902.113393042</v>
      </c>
      <c r="D41" s="98"/>
    </row>
    <row r="42" spans="1:5" ht="15.75" customHeight="1" x14ac:dyDescent="0.2">
      <c r="B42" s="89" t="s">
        <v>114</v>
      </c>
      <c r="C42" s="39">
        <f t="shared" si="0"/>
        <v>9101877.564651465</v>
      </c>
      <c r="D42" s="98"/>
    </row>
    <row r="43" spans="1:5" ht="15.75" customHeight="1" x14ac:dyDescent="0.2">
      <c r="B43" s="89"/>
      <c r="C43" s="40"/>
      <c r="D43" s="98"/>
    </row>
    <row r="44" spans="1:5" ht="15" customHeight="1" x14ac:dyDescent="0.2">
      <c r="B44" s="38"/>
      <c r="C44" s="40"/>
    </row>
    <row r="45" spans="1:5" ht="15.75" customHeight="1" x14ac:dyDescent="0.2">
      <c r="A45" s="10" t="s">
        <v>208</v>
      </c>
      <c r="B45" s="89" t="s">
        <v>115</v>
      </c>
      <c r="C45" s="33">
        <f>C51*$C$6</f>
        <v>1102416.4304987811</v>
      </c>
    </row>
    <row r="46" spans="1:5" ht="15.75" customHeight="1" x14ac:dyDescent="0.2">
      <c r="B46" s="89" t="s">
        <v>116</v>
      </c>
      <c r="C46" s="33">
        <f t="shared" ref="C46:C48" si="1">C52*$C$6</f>
        <v>1932662.074533775</v>
      </c>
    </row>
    <row r="47" spans="1:5" ht="15.75" customHeight="1" x14ac:dyDescent="0.2">
      <c r="B47" s="89" t="s">
        <v>117</v>
      </c>
      <c r="C47" s="33">
        <f t="shared" si="1"/>
        <v>596097.88660695858</v>
      </c>
    </row>
    <row r="48" spans="1:5" ht="15.75" customHeight="1" x14ac:dyDescent="0.2">
      <c r="B48" s="89" t="s">
        <v>118</v>
      </c>
      <c r="C48" s="33">
        <f t="shared" si="1"/>
        <v>46122.435348534098</v>
      </c>
    </row>
    <row r="51" spans="1:3" ht="15.75" customHeight="1" x14ac:dyDescent="0.2">
      <c r="A51" s="10" t="s">
        <v>103</v>
      </c>
      <c r="B51" s="89" t="s">
        <v>115</v>
      </c>
      <c r="C51" s="33">
        <v>0.29978973218277538</v>
      </c>
    </row>
    <row r="52" spans="1:3" ht="15.75" customHeight="1" x14ac:dyDescent="0.2">
      <c r="B52" s="89" t="s">
        <v>116</v>
      </c>
      <c r="C52" s="33">
        <v>0.52556568434139284</v>
      </c>
    </row>
    <row r="53" spans="1:3" ht="15.75" customHeight="1" x14ac:dyDescent="0.2">
      <c r="B53" s="89" t="s">
        <v>117</v>
      </c>
      <c r="C53" s="33">
        <v>0.16210210664201097</v>
      </c>
    </row>
    <row r="54" spans="1:3" ht="15.75" customHeight="1" x14ac:dyDescent="0.2">
      <c r="B54" s="89" t="s">
        <v>118</v>
      </c>
      <c r="C54" s="33">
        <v>1.2542476833820825E-2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5"/>
  <sheetViews>
    <sheetView workbookViewId="0">
      <selection activeCell="A19" sqref="A19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192</v>
      </c>
      <c r="B2" t="s">
        <v>62</v>
      </c>
      <c r="C2" s="26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219</v>
      </c>
      <c r="B4" s="4" t="s">
        <v>213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180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104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253</v>
      </c>
      <c r="B12" s="4" t="s">
        <v>52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68" t="s">
        <v>54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68" t="s">
        <v>127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8" t="s">
        <v>75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8" t="s">
        <v>136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59" t="s">
        <v>254</v>
      </c>
      <c r="B18" s="58" t="s">
        <v>53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60"/>
      <c r="B19" s="58" t="s">
        <v>54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149</v>
      </c>
      <c r="B21" s="4" t="s">
        <v>213</v>
      </c>
      <c r="C21" s="46">
        <v>1.04</v>
      </c>
      <c r="D21" s="46">
        <v>1.04</v>
      </c>
      <c r="E21" s="46">
        <v>1.04</v>
      </c>
      <c r="F21" s="46">
        <v>1.04</v>
      </c>
      <c r="G21" s="46">
        <v>1.04</v>
      </c>
    </row>
    <row r="23" spans="1:7" x14ac:dyDescent="0.15">
      <c r="A23" s="10" t="s">
        <v>150</v>
      </c>
      <c r="B23" s="4" t="s">
        <v>213</v>
      </c>
      <c r="C23" s="46">
        <v>1.04</v>
      </c>
      <c r="D23" s="46">
        <v>1.04</v>
      </c>
      <c r="E23" s="46">
        <v>1.04</v>
      </c>
      <c r="F23" s="46">
        <v>1.04</v>
      </c>
      <c r="G23" s="46">
        <v>1.04</v>
      </c>
    </row>
    <row r="25" spans="1:7" x14ac:dyDescent="0.15">
      <c r="A25" s="10" t="s">
        <v>218</v>
      </c>
      <c r="B25" t="s">
        <v>216</v>
      </c>
      <c r="C25" s="46">
        <v>1</v>
      </c>
      <c r="D25" s="46">
        <v>1</v>
      </c>
      <c r="E25" s="46">
        <v>1</v>
      </c>
      <c r="F25" s="46">
        <v>1</v>
      </c>
      <c r="G25" s="4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workbookViewId="0">
      <selection activeCell="F45" sqref="F45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156</v>
      </c>
      <c r="B1" s="10" t="s">
        <v>159</v>
      </c>
      <c r="C1" s="10" t="s">
        <v>155</v>
      </c>
      <c r="D1" s="10" t="s">
        <v>6</v>
      </c>
      <c r="E1" s="10" t="s">
        <v>7</v>
      </c>
      <c r="F1" s="10" t="s">
        <v>8</v>
      </c>
      <c r="G1" s="10" t="s">
        <v>9</v>
      </c>
      <c r="H1" s="56" t="s">
        <v>10</v>
      </c>
    </row>
    <row r="2" spans="1:10" x14ac:dyDescent="0.15">
      <c r="A2" s="10" t="s">
        <v>157</v>
      </c>
      <c r="B2" s="127" t="s">
        <v>73</v>
      </c>
      <c r="C2" t="s">
        <v>153</v>
      </c>
      <c r="D2" s="55">
        <v>1.85</v>
      </c>
      <c r="E2" s="55">
        <v>1.2</v>
      </c>
      <c r="F2" s="55">
        <v>1.05</v>
      </c>
      <c r="G2" s="55">
        <v>1.01</v>
      </c>
      <c r="H2" s="57">
        <v>1</v>
      </c>
    </row>
    <row r="3" spans="1:10" x14ac:dyDescent="0.15">
      <c r="B3" s="127"/>
      <c r="C3" t="s">
        <v>154</v>
      </c>
      <c r="D3" s="55">
        <v>1.9</v>
      </c>
      <c r="E3" s="55">
        <v>1.25</v>
      </c>
      <c r="F3" s="55">
        <v>1.05</v>
      </c>
      <c r="G3" s="55">
        <v>1.01</v>
      </c>
      <c r="H3" s="57">
        <v>1</v>
      </c>
      <c r="J3" s="55"/>
    </row>
    <row r="4" spans="1:10" x14ac:dyDescent="0.15">
      <c r="B4" s="127"/>
      <c r="C4" t="s">
        <v>164</v>
      </c>
      <c r="D4" s="55">
        <f>D17^(1/2)</f>
        <v>1.0246950765959599</v>
      </c>
      <c r="E4" s="55">
        <f>E17^(1/3)</f>
        <v>1.0163963568148535</v>
      </c>
      <c r="F4" s="55">
        <f>F17^(1/4)</f>
        <v>1.0122722344290394</v>
      </c>
      <c r="G4" s="55">
        <f t="shared" ref="G4:H4" si="0">G17^(1/5)</f>
        <v>1.0098057976734853</v>
      </c>
      <c r="H4" s="55">
        <f t="shared" si="0"/>
        <v>1</v>
      </c>
      <c r="J4" s="55"/>
    </row>
    <row r="5" spans="1:10" x14ac:dyDescent="0.15">
      <c r="B5" s="127" t="s">
        <v>6</v>
      </c>
      <c r="C5" t="s">
        <v>153</v>
      </c>
      <c r="D5" s="55">
        <v>2.0299999999999998</v>
      </c>
      <c r="E5" s="55">
        <v>1</v>
      </c>
      <c r="F5" s="55">
        <v>1</v>
      </c>
      <c r="G5" s="55">
        <v>1</v>
      </c>
      <c r="H5" s="57">
        <v>1</v>
      </c>
    </row>
    <row r="6" spans="1:10" x14ac:dyDescent="0.15">
      <c r="B6" s="127"/>
      <c r="C6" t="s">
        <v>154</v>
      </c>
      <c r="D6" s="55">
        <v>2.17</v>
      </c>
      <c r="E6" s="55">
        <v>1</v>
      </c>
      <c r="F6" s="55">
        <v>1</v>
      </c>
      <c r="G6" s="55">
        <v>1</v>
      </c>
      <c r="H6" s="57">
        <v>1</v>
      </c>
    </row>
    <row r="7" spans="1:10" x14ac:dyDescent="0.15">
      <c r="B7" s="127"/>
      <c r="C7" t="s">
        <v>164</v>
      </c>
      <c r="D7" s="55">
        <f>D17^(1/2)</f>
        <v>1.0246950765959599</v>
      </c>
      <c r="E7" s="55">
        <f>E17^(1/3)</f>
        <v>1.0163963568148535</v>
      </c>
      <c r="F7" s="55">
        <f>F17^(1/4)</f>
        <v>1.0122722344290394</v>
      </c>
      <c r="G7" s="55">
        <f t="shared" ref="G7:H7" si="1">G17^(1/5)</f>
        <v>1.0098057976734853</v>
      </c>
      <c r="H7" s="55">
        <f t="shared" si="1"/>
        <v>1</v>
      </c>
    </row>
    <row r="8" spans="1:10" x14ac:dyDescent="0.15">
      <c r="B8" s="127" t="s">
        <v>7</v>
      </c>
      <c r="C8" t="s">
        <v>153</v>
      </c>
      <c r="D8" s="55">
        <v>1</v>
      </c>
      <c r="E8" s="55">
        <v>1.5</v>
      </c>
      <c r="F8" s="55">
        <v>1</v>
      </c>
      <c r="G8" s="55">
        <v>1</v>
      </c>
      <c r="H8" s="57">
        <v>1</v>
      </c>
    </row>
    <row r="9" spans="1:10" x14ac:dyDescent="0.15">
      <c r="B9" s="127"/>
      <c r="C9" t="s">
        <v>154</v>
      </c>
      <c r="D9" s="55">
        <v>1</v>
      </c>
      <c r="E9" s="55">
        <v>1.5</v>
      </c>
      <c r="F9" s="55">
        <v>1</v>
      </c>
      <c r="G9" s="55">
        <v>1</v>
      </c>
      <c r="H9" s="57">
        <v>1</v>
      </c>
    </row>
    <row r="10" spans="1:10" x14ac:dyDescent="0.15">
      <c r="B10" s="127"/>
      <c r="C10" t="s">
        <v>164</v>
      </c>
      <c r="D10" s="55">
        <v>1</v>
      </c>
      <c r="E10" s="55">
        <f>E17^(1/3)</f>
        <v>1.0163963568148535</v>
      </c>
      <c r="F10" s="55">
        <f>F17^(1/4)</f>
        <v>1.0122722344290394</v>
      </c>
      <c r="G10" s="55">
        <f t="shared" ref="G10:H10" si="2">G17^(1/5)</f>
        <v>1.0098057976734853</v>
      </c>
      <c r="H10" s="55">
        <f t="shared" si="2"/>
        <v>1</v>
      </c>
    </row>
    <row r="11" spans="1:10" x14ac:dyDescent="0.15">
      <c r="B11" s="127" t="s">
        <v>8</v>
      </c>
      <c r="C11" t="s">
        <v>153</v>
      </c>
      <c r="D11" s="55">
        <v>1</v>
      </c>
      <c r="E11" s="55">
        <v>1</v>
      </c>
      <c r="F11" s="55">
        <v>1.1499999999999999</v>
      </c>
      <c r="G11" s="55">
        <v>1</v>
      </c>
      <c r="H11" s="57">
        <v>1</v>
      </c>
    </row>
    <row r="12" spans="1:10" x14ac:dyDescent="0.15">
      <c r="B12" s="127"/>
      <c r="C12" t="s">
        <v>154</v>
      </c>
      <c r="D12" s="55">
        <v>1</v>
      </c>
      <c r="E12" s="55">
        <v>1</v>
      </c>
      <c r="F12" s="55">
        <v>1.1499999999999999</v>
      </c>
      <c r="G12" s="55">
        <v>1</v>
      </c>
      <c r="H12" s="57">
        <v>1</v>
      </c>
    </row>
    <row r="13" spans="1:10" x14ac:dyDescent="0.15">
      <c r="B13" s="127"/>
      <c r="C13" t="s">
        <v>164</v>
      </c>
      <c r="D13" s="55">
        <v>1</v>
      </c>
      <c r="E13" s="55">
        <v>1</v>
      </c>
      <c r="F13" s="55">
        <f>F17^(1/4)</f>
        <v>1.0122722344290394</v>
      </c>
      <c r="G13" s="55">
        <f t="shared" ref="G13:H13" si="3">G17^(1/5)</f>
        <v>1.0098057976734853</v>
      </c>
      <c r="H13" s="55">
        <f t="shared" si="3"/>
        <v>1</v>
      </c>
    </row>
    <row r="14" spans="1:10" x14ac:dyDescent="0.15">
      <c r="B14" s="127" t="s">
        <v>9</v>
      </c>
      <c r="C14" t="s">
        <v>153</v>
      </c>
      <c r="D14" s="55">
        <v>1</v>
      </c>
      <c r="E14" s="55">
        <v>1</v>
      </c>
      <c r="F14" s="55">
        <v>1</v>
      </c>
      <c r="G14" s="55">
        <v>1.1499999999999999</v>
      </c>
      <c r="H14" s="57">
        <v>1</v>
      </c>
    </row>
    <row r="15" spans="1:10" x14ac:dyDescent="0.15">
      <c r="B15" s="127"/>
      <c r="C15" t="s">
        <v>154</v>
      </c>
      <c r="D15" s="55">
        <v>1</v>
      </c>
      <c r="E15" s="55">
        <v>1</v>
      </c>
      <c r="F15" s="55">
        <v>1</v>
      </c>
      <c r="G15" s="55">
        <v>1.1000000000000001</v>
      </c>
      <c r="H15" s="57">
        <v>1</v>
      </c>
    </row>
    <row r="16" spans="1:10" x14ac:dyDescent="0.15">
      <c r="B16" s="127"/>
      <c r="C16" t="s">
        <v>164</v>
      </c>
      <c r="D16" s="55">
        <v>1</v>
      </c>
      <c r="E16" s="55">
        <v>1</v>
      </c>
      <c r="F16" s="55">
        <v>1</v>
      </c>
      <c r="G16" s="55">
        <f t="shared" ref="G16:H16" si="4">G17^(1/5)</f>
        <v>1.0098057976734853</v>
      </c>
      <c r="H16" s="55">
        <f t="shared" si="4"/>
        <v>1</v>
      </c>
    </row>
    <row r="17" spans="1:8" x14ac:dyDescent="0.15">
      <c r="B17" s="66" t="s">
        <v>98</v>
      </c>
      <c r="C17" t="s">
        <v>164</v>
      </c>
      <c r="D17" s="62">
        <v>1.05</v>
      </c>
      <c r="E17" s="62">
        <v>1.05</v>
      </c>
      <c r="F17" s="62">
        <v>1.05</v>
      </c>
      <c r="G17" s="62">
        <v>1.05</v>
      </c>
      <c r="H17" s="62">
        <v>1</v>
      </c>
    </row>
    <row r="18" spans="1:8" x14ac:dyDescent="0.15">
      <c r="D18" s="57"/>
      <c r="E18" s="57"/>
      <c r="F18" s="57"/>
      <c r="G18" s="57"/>
      <c r="H18" s="57"/>
    </row>
    <row r="19" spans="1:8" x14ac:dyDescent="0.15">
      <c r="A19" s="59" t="s">
        <v>158</v>
      </c>
      <c r="B19" s="127" t="s">
        <v>73</v>
      </c>
      <c r="C19" t="s">
        <v>153</v>
      </c>
      <c r="D19" s="55">
        <v>1</v>
      </c>
      <c r="E19" s="55">
        <v>1</v>
      </c>
      <c r="F19" s="55">
        <v>1.05</v>
      </c>
      <c r="G19" s="55">
        <v>1.05</v>
      </c>
      <c r="H19" s="55">
        <v>1</v>
      </c>
    </row>
    <row r="20" spans="1:8" x14ac:dyDescent="0.15">
      <c r="B20" s="127"/>
      <c r="C20" t="s">
        <v>154</v>
      </c>
      <c r="D20" s="55">
        <v>1</v>
      </c>
      <c r="E20" s="55">
        <v>1</v>
      </c>
      <c r="F20" s="55">
        <v>1.05</v>
      </c>
      <c r="G20" s="55">
        <v>1.05</v>
      </c>
      <c r="H20" s="55">
        <v>1</v>
      </c>
    </row>
    <row r="21" spans="1:8" x14ac:dyDescent="0.15">
      <c r="B21" s="127"/>
      <c r="C21" t="s">
        <v>164</v>
      </c>
      <c r="D21" s="55">
        <f>D34^(1/5)</f>
        <v>1.0098057976734853</v>
      </c>
      <c r="E21" s="55">
        <f t="shared" ref="E21:H21" si="5">E34^(1/5)</f>
        <v>1.0098057976734853</v>
      </c>
      <c r="F21" s="55">
        <f t="shared" si="5"/>
        <v>1.0098057976734853</v>
      </c>
      <c r="G21" s="55">
        <f t="shared" si="5"/>
        <v>1.0098057976734853</v>
      </c>
      <c r="H21" s="55">
        <f t="shared" si="5"/>
        <v>1</v>
      </c>
    </row>
    <row r="22" spans="1:8" x14ac:dyDescent="0.15">
      <c r="B22" s="127" t="s">
        <v>6</v>
      </c>
      <c r="C22" t="s">
        <v>153</v>
      </c>
      <c r="D22" s="55">
        <v>1</v>
      </c>
      <c r="E22" s="55">
        <v>1</v>
      </c>
      <c r="F22" s="55">
        <v>1.05</v>
      </c>
      <c r="G22" s="55">
        <v>1.05</v>
      </c>
      <c r="H22" s="55">
        <v>1</v>
      </c>
    </row>
    <row r="23" spans="1:8" x14ac:dyDescent="0.15">
      <c r="B23" s="127"/>
      <c r="C23" t="s">
        <v>154</v>
      </c>
      <c r="D23" s="55">
        <v>1</v>
      </c>
      <c r="E23" s="55">
        <v>1</v>
      </c>
      <c r="F23" s="55">
        <v>1.05</v>
      </c>
      <c r="G23" s="55">
        <v>1.05</v>
      </c>
      <c r="H23" s="55">
        <v>1</v>
      </c>
    </row>
    <row r="24" spans="1:8" x14ac:dyDescent="0.15">
      <c r="B24" s="127"/>
      <c r="C24" t="s">
        <v>164</v>
      </c>
      <c r="D24" s="55">
        <f>D34^(1/5)</f>
        <v>1.0098057976734853</v>
      </c>
      <c r="E24" s="55">
        <f t="shared" ref="E24:H24" si="6">E34^(1/5)</f>
        <v>1.0098057976734853</v>
      </c>
      <c r="F24" s="55">
        <f t="shared" si="6"/>
        <v>1.0098057976734853</v>
      </c>
      <c r="G24" s="55">
        <f t="shared" si="6"/>
        <v>1.0098057976734853</v>
      </c>
      <c r="H24" s="55">
        <f t="shared" si="6"/>
        <v>1</v>
      </c>
    </row>
    <row r="25" spans="1:8" x14ac:dyDescent="0.15">
      <c r="B25" s="127" t="s">
        <v>7</v>
      </c>
      <c r="C25" t="s">
        <v>153</v>
      </c>
      <c r="D25" s="55">
        <v>1</v>
      </c>
      <c r="E25" s="55">
        <v>1</v>
      </c>
      <c r="F25" s="55">
        <v>2.5</v>
      </c>
      <c r="G25" s="55">
        <v>2.5</v>
      </c>
      <c r="H25" s="55">
        <v>1</v>
      </c>
    </row>
    <row r="26" spans="1:8" x14ac:dyDescent="0.15">
      <c r="B26" s="127"/>
      <c r="C26" t="s">
        <v>154</v>
      </c>
      <c r="D26" s="55">
        <v>1</v>
      </c>
      <c r="E26" s="55">
        <v>1</v>
      </c>
      <c r="F26" s="55">
        <v>2.4</v>
      </c>
      <c r="G26" s="55">
        <v>2.4</v>
      </c>
      <c r="H26" s="55">
        <v>1</v>
      </c>
    </row>
    <row r="27" spans="1:8" x14ac:dyDescent="0.15">
      <c r="B27" s="127"/>
      <c r="C27" t="s">
        <v>164</v>
      </c>
      <c r="D27" s="55">
        <f>D34^(1/5)</f>
        <v>1.0098057976734853</v>
      </c>
      <c r="E27" s="55">
        <f t="shared" ref="E27:H27" si="7">E34^(1/5)</f>
        <v>1.0098057976734853</v>
      </c>
      <c r="F27" s="55">
        <f t="shared" si="7"/>
        <v>1.0098057976734853</v>
      </c>
      <c r="G27" s="55">
        <f t="shared" si="7"/>
        <v>1.0098057976734853</v>
      </c>
      <c r="H27" s="55">
        <f t="shared" si="7"/>
        <v>1</v>
      </c>
    </row>
    <row r="28" spans="1:8" x14ac:dyDescent="0.15">
      <c r="B28" s="127" t="s">
        <v>8</v>
      </c>
      <c r="C28" t="s">
        <v>153</v>
      </c>
      <c r="D28" s="55">
        <v>1</v>
      </c>
      <c r="E28" s="55">
        <v>1</v>
      </c>
      <c r="F28" s="55">
        <v>2</v>
      </c>
      <c r="G28" s="55">
        <v>2</v>
      </c>
      <c r="H28" s="55">
        <v>1</v>
      </c>
    </row>
    <row r="29" spans="1:8" x14ac:dyDescent="0.15">
      <c r="B29" s="127"/>
      <c r="C29" t="s">
        <v>154</v>
      </c>
      <c r="D29" s="55">
        <v>1</v>
      </c>
      <c r="E29" s="55">
        <v>1</v>
      </c>
      <c r="F29" s="55">
        <v>1.9</v>
      </c>
      <c r="G29" s="55">
        <v>1.9</v>
      </c>
      <c r="H29" s="55">
        <v>1</v>
      </c>
    </row>
    <row r="30" spans="1:8" x14ac:dyDescent="0.15">
      <c r="B30" s="127"/>
      <c r="C30" t="s">
        <v>164</v>
      </c>
      <c r="D30" s="55">
        <f>D34^(1/5)</f>
        <v>1.0098057976734853</v>
      </c>
      <c r="E30" s="55">
        <f t="shared" ref="E30:H30" si="8">E34^(1/5)</f>
        <v>1.0098057976734853</v>
      </c>
      <c r="F30" s="55">
        <f t="shared" si="8"/>
        <v>1.0098057976734853</v>
      </c>
      <c r="G30" s="55">
        <f t="shared" si="8"/>
        <v>1.0098057976734853</v>
      </c>
      <c r="H30" s="55">
        <f t="shared" si="8"/>
        <v>1</v>
      </c>
    </row>
    <row r="31" spans="1:8" x14ac:dyDescent="0.15">
      <c r="B31" s="127" t="s">
        <v>9</v>
      </c>
      <c r="C31" t="s">
        <v>153</v>
      </c>
      <c r="D31" s="55">
        <v>1</v>
      </c>
      <c r="E31" s="55">
        <v>1</v>
      </c>
      <c r="F31" s="55">
        <v>1</v>
      </c>
      <c r="G31" s="55">
        <v>2</v>
      </c>
      <c r="H31" s="55">
        <v>1</v>
      </c>
    </row>
    <row r="32" spans="1:8" x14ac:dyDescent="0.15">
      <c r="B32" s="127"/>
      <c r="C32" t="s">
        <v>154</v>
      </c>
      <c r="D32" s="55">
        <v>1</v>
      </c>
      <c r="E32" s="55">
        <v>1</v>
      </c>
      <c r="F32" s="55">
        <v>1</v>
      </c>
      <c r="G32" s="55">
        <v>1.9</v>
      </c>
      <c r="H32" s="55">
        <v>1</v>
      </c>
    </row>
    <row r="33" spans="1:8" x14ac:dyDescent="0.15">
      <c r="B33" s="127"/>
      <c r="C33" t="s">
        <v>164</v>
      </c>
      <c r="D33" s="55">
        <f>D34^(1/5)</f>
        <v>1.0098057976734853</v>
      </c>
      <c r="E33" s="55">
        <f t="shared" ref="E33:H33" si="9">E34^(1/5)</f>
        <v>1.0098057976734853</v>
      </c>
      <c r="F33" s="55">
        <f t="shared" si="9"/>
        <v>1.0098057976734853</v>
      </c>
      <c r="G33" s="55">
        <f t="shared" si="9"/>
        <v>1.0098057976734853</v>
      </c>
      <c r="H33" s="55">
        <f t="shared" si="9"/>
        <v>1</v>
      </c>
    </row>
    <row r="34" spans="1:8" x14ac:dyDescent="0.15">
      <c r="B34" s="61" t="s">
        <v>98</v>
      </c>
      <c r="C34" t="s">
        <v>164</v>
      </c>
      <c r="D34" s="62">
        <v>1.05</v>
      </c>
      <c r="E34" s="62">
        <v>1.05</v>
      </c>
      <c r="F34" s="62">
        <v>1.05</v>
      </c>
      <c r="G34" s="62">
        <v>1.05</v>
      </c>
      <c r="H34" s="62">
        <v>1</v>
      </c>
    </row>
    <row r="36" spans="1:8" x14ac:dyDescent="0.15">
      <c r="A36" s="10" t="s">
        <v>187</v>
      </c>
      <c r="B36" s="127" t="s">
        <v>73</v>
      </c>
      <c r="C36" t="s">
        <v>153</v>
      </c>
      <c r="D36" s="55">
        <v>1</v>
      </c>
      <c r="E36" s="55">
        <v>1</v>
      </c>
      <c r="F36" s="55">
        <v>0.98</v>
      </c>
      <c r="G36" s="55">
        <v>0.98</v>
      </c>
      <c r="H36" s="55">
        <v>1</v>
      </c>
    </row>
    <row r="37" spans="1:8" x14ac:dyDescent="0.15">
      <c r="B37" s="127"/>
      <c r="C37" t="s">
        <v>154</v>
      </c>
      <c r="D37" s="55">
        <v>1</v>
      </c>
      <c r="E37" s="55">
        <v>1</v>
      </c>
      <c r="F37" s="55">
        <v>0.98</v>
      </c>
      <c r="G37" s="55">
        <v>0.98</v>
      </c>
      <c r="H37" s="55">
        <v>1</v>
      </c>
    </row>
    <row r="38" spans="1:8" x14ac:dyDescent="0.15">
      <c r="B38" s="127"/>
      <c r="C38" t="s">
        <v>164</v>
      </c>
      <c r="D38" s="55">
        <v>1</v>
      </c>
      <c r="E38" s="55">
        <v>1</v>
      </c>
      <c r="F38" s="55">
        <v>0.99</v>
      </c>
      <c r="G38" s="55">
        <v>0.99</v>
      </c>
      <c r="H38" s="55">
        <v>1</v>
      </c>
    </row>
    <row r="39" spans="1:8" x14ac:dyDescent="0.15">
      <c r="B39" s="127" t="s">
        <v>6</v>
      </c>
      <c r="C39" t="s">
        <v>153</v>
      </c>
      <c r="D39" s="55">
        <v>1</v>
      </c>
      <c r="E39" s="55">
        <v>1</v>
      </c>
      <c r="F39" s="55">
        <v>1</v>
      </c>
      <c r="G39" s="55">
        <v>1</v>
      </c>
      <c r="H39" s="55">
        <v>1</v>
      </c>
    </row>
    <row r="40" spans="1:8" x14ac:dyDescent="0.15">
      <c r="B40" s="127"/>
      <c r="C40" t="s">
        <v>154</v>
      </c>
      <c r="D40" s="55">
        <v>1</v>
      </c>
      <c r="E40" s="55">
        <v>1</v>
      </c>
      <c r="F40" s="55">
        <v>1</v>
      </c>
      <c r="G40" s="55">
        <v>1</v>
      </c>
      <c r="H40" s="55">
        <v>1</v>
      </c>
    </row>
    <row r="41" spans="1:8" x14ac:dyDescent="0.15">
      <c r="B41" s="127"/>
      <c r="C41" t="s">
        <v>164</v>
      </c>
      <c r="D41" s="55">
        <v>1</v>
      </c>
      <c r="E41" s="55">
        <v>1</v>
      </c>
      <c r="F41" s="55">
        <v>0.99</v>
      </c>
      <c r="G41" s="55">
        <v>0.99</v>
      </c>
      <c r="H41" s="55">
        <v>1</v>
      </c>
    </row>
    <row r="42" spans="1:8" x14ac:dyDescent="0.15">
      <c r="B42" s="127" t="s">
        <v>7</v>
      </c>
      <c r="C42" t="s">
        <v>153</v>
      </c>
      <c r="D42" s="55">
        <v>1</v>
      </c>
      <c r="E42" s="55">
        <v>1</v>
      </c>
      <c r="F42" s="55">
        <v>1</v>
      </c>
      <c r="G42" s="55">
        <v>1</v>
      </c>
      <c r="H42" s="55">
        <v>1</v>
      </c>
    </row>
    <row r="43" spans="1:8" x14ac:dyDescent="0.15">
      <c r="B43" s="127"/>
      <c r="C43" t="s">
        <v>154</v>
      </c>
      <c r="D43" s="55">
        <v>1</v>
      </c>
      <c r="E43" s="55">
        <v>1</v>
      </c>
      <c r="F43" s="55">
        <v>1</v>
      </c>
      <c r="G43" s="55">
        <v>1</v>
      </c>
      <c r="H43" s="55">
        <v>1</v>
      </c>
    </row>
    <row r="44" spans="1:8" x14ac:dyDescent="0.15">
      <c r="B44" s="127"/>
      <c r="C44" t="s">
        <v>164</v>
      </c>
      <c r="D44" s="55">
        <v>1</v>
      </c>
      <c r="E44" s="55">
        <v>1</v>
      </c>
      <c r="F44" s="55">
        <v>0.99</v>
      </c>
      <c r="G44" s="55">
        <v>0.99</v>
      </c>
      <c r="H44" s="55">
        <v>1</v>
      </c>
    </row>
    <row r="45" spans="1:8" x14ac:dyDescent="0.15">
      <c r="B45" s="127" t="s">
        <v>8</v>
      </c>
      <c r="C45" t="s">
        <v>153</v>
      </c>
      <c r="D45" s="55">
        <v>1</v>
      </c>
      <c r="E45" s="55">
        <v>1</v>
      </c>
      <c r="F45" s="55">
        <v>0.78</v>
      </c>
      <c r="G45" s="55">
        <v>1</v>
      </c>
      <c r="H45" s="55">
        <v>1</v>
      </c>
    </row>
    <row r="46" spans="1:8" x14ac:dyDescent="0.15">
      <c r="B46" s="127"/>
      <c r="C46" t="s">
        <v>154</v>
      </c>
      <c r="D46" s="55">
        <v>1</v>
      </c>
      <c r="E46" s="55">
        <v>1</v>
      </c>
      <c r="F46" s="55">
        <v>0.78</v>
      </c>
      <c r="G46" s="55">
        <v>1</v>
      </c>
      <c r="H46" s="55">
        <v>1</v>
      </c>
    </row>
    <row r="47" spans="1:8" x14ac:dyDescent="0.15">
      <c r="B47" s="127"/>
      <c r="C47" t="s">
        <v>164</v>
      </c>
      <c r="D47" s="55">
        <v>1</v>
      </c>
      <c r="E47" s="55">
        <v>1</v>
      </c>
      <c r="F47" s="55">
        <v>0.99</v>
      </c>
      <c r="G47" s="55">
        <v>0.99</v>
      </c>
      <c r="H47" s="55">
        <v>1</v>
      </c>
    </row>
    <row r="48" spans="1:8" x14ac:dyDescent="0.15">
      <c r="B48" s="127" t="s">
        <v>9</v>
      </c>
      <c r="C48" t="s">
        <v>153</v>
      </c>
      <c r="D48" s="55">
        <v>1</v>
      </c>
      <c r="E48" s="55">
        <v>1</v>
      </c>
      <c r="F48" s="55">
        <v>1</v>
      </c>
      <c r="G48" s="55">
        <v>0.78</v>
      </c>
      <c r="H48" s="55">
        <v>1</v>
      </c>
    </row>
    <row r="49" spans="2:8" x14ac:dyDescent="0.15">
      <c r="B49" s="127"/>
      <c r="C49" t="s">
        <v>154</v>
      </c>
      <c r="D49" s="55">
        <v>1</v>
      </c>
      <c r="E49" s="55">
        <v>1</v>
      </c>
      <c r="F49" s="55">
        <v>1</v>
      </c>
      <c r="G49" s="55">
        <v>0.78</v>
      </c>
      <c r="H49" s="55">
        <v>1</v>
      </c>
    </row>
    <row r="50" spans="2:8" x14ac:dyDescent="0.15">
      <c r="B50" s="127"/>
      <c r="C50" t="s">
        <v>164</v>
      </c>
      <c r="D50" s="55">
        <v>1</v>
      </c>
      <c r="E50" s="55">
        <v>1</v>
      </c>
      <c r="F50" s="55">
        <v>1</v>
      </c>
      <c r="G50" s="55">
        <v>0.99</v>
      </c>
      <c r="H50" s="55">
        <v>1</v>
      </c>
    </row>
    <row r="51" spans="2:8" x14ac:dyDescent="0.15">
      <c r="B51" s="70" t="s">
        <v>98</v>
      </c>
      <c r="C51" t="s">
        <v>164</v>
      </c>
      <c r="D51" s="76">
        <v>1</v>
      </c>
      <c r="E51" s="76">
        <v>1</v>
      </c>
      <c r="F51" s="76">
        <v>0.95</v>
      </c>
      <c r="G51" s="76">
        <v>0.95</v>
      </c>
      <c r="H51" s="76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C13" sqref="C13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160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77" t="s">
        <v>161</v>
      </c>
      <c r="B2" s="78" t="s">
        <v>73</v>
      </c>
      <c r="C2" s="78" t="s">
        <v>165</v>
      </c>
      <c r="D2" s="78" t="s">
        <v>165</v>
      </c>
      <c r="E2" s="79"/>
    </row>
    <row r="3" spans="1:5" x14ac:dyDescent="0.15">
      <c r="A3" s="80"/>
      <c r="B3" s="81" t="s">
        <v>6</v>
      </c>
      <c r="C3" s="81" t="s">
        <v>165</v>
      </c>
      <c r="D3" s="81" t="s">
        <v>165</v>
      </c>
      <c r="E3" s="82"/>
    </row>
    <row r="4" spans="1:5" x14ac:dyDescent="0.15">
      <c r="A4" s="80"/>
      <c r="B4" s="81" t="s">
        <v>7</v>
      </c>
      <c r="C4" s="81" t="s">
        <v>165</v>
      </c>
      <c r="D4" s="81" t="s">
        <v>165</v>
      </c>
      <c r="E4" s="82"/>
    </row>
    <row r="5" spans="1:5" x14ac:dyDescent="0.15">
      <c r="A5" s="80"/>
      <c r="B5" s="81" t="s">
        <v>8</v>
      </c>
      <c r="C5" s="81"/>
      <c r="D5" s="81"/>
      <c r="E5" s="82"/>
    </row>
    <row r="6" spans="1:5" x14ac:dyDescent="0.15">
      <c r="A6" s="80"/>
      <c r="B6" s="81" t="s">
        <v>9</v>
      </c>
      <c r="C6" s="81"/>
      <c r="D6" s="81"/>
      <c r="E6" s="82"/>
    </row>
    <row r="7" spans="1:5" x14ac:dyDescent="0.15">
      <c r="A7" s="83"/>
      <c r="B7" s="84" t="s">
        <v>98</v>
      </c>
      <c r="C7" s="85"/>
      <c r="D7" s="85"/>
      <c r="E7" s="86"/>
    </row>
    <row r="9" spans="1:5" x14ac:dyDescent="0.15">
      <c r="A9" s="77" t="s">
        <v>162</v>
      </c>
      <c r="B9" s="78" t="s">
        <v>73</v>
      </c>
      <c r="C9" s="78"/>
      <c r="D9" s="78"/>
      <c r="E9" s="79"/>
    </row>
    <row r="10" spans="1:5" x14ac:dyDescent="0.15">
      <c r="A10" s="80"/>
      <c r="B10" s="81" t="s">
        <v>6</v>
      </c>
      <c r="C10" s="81"/>
      <c r="D10" s="81"/>
      <c r="E10" s="82"/>
    </row>
    <row r="11" spans="1:5" x14ac:dyDescent="0.15">
      <c r="A11" s="80"/>
      <c r="B11" s="81" t="s">
        <v>7</v>
      </c>
      <c r="C11" s="81"/>
      <c r="D11" s="81"/>
      <c r="E11" s="82"/>
    </row>
    <row r="12" spans="1:5" x14ac:dyDescent="0.15">
      <c r="A12" s="80"/>
      <c r="B12" s="81" t="s">
        <v>8</v>
      </c>
      <c r="C12" s="81"/>
      <c r="D12" s="81"/>
      <c r="E12" s="82"/>
    </row>
    <row r="13" spans="1:5" x14ac:dyDescent="0.15">
      <c r="A13" s="80"/>
      <c r="B13" s="81" t="s">
        <v>9</v>
      </c>
      <c r="C13" s="81" t="s">
        <v>165</v>
      </c>
      <c r="D13" s="81"/>
      <c r="E13" s="82"/>
    </row>
    <row r="14" spans="1:5" x14ac:dyDescent="0.15">
      <c r="A14" s="83"/>
      <c r="B14" s="84" t="s">
        <v>98</v>
      </c>
      <c r="C14" s="85"/>
      <c r="D14" s="85"/>
      <c r="E14" s="86"/>
    </row>
    <row r="16" spans="1:5" x14ac:dyDescent="0.15">
      <c r="A16" s="77" t="s">
        <v>163</v>
      </c>
      <c r="B16" s="78" t="s">
        <v>73</v>
      </c>
      <c r="C16" s="78"/>
      <c r="D16" s="78"/>
      <c r="E16" s="79"/>
    </row>
    <row r="17" spans="1:5" x14ac:dyDescent="0.15">
      <c r="A17" s="80"/>
      <c r="B17" s="81" t="s">
        <v>6</v>
      </c>
      <c r="C17" s="81"/>
      <c r="D17" s="81"/>
      <c r="E17" s="82"/>
    </row>
    <row r="18" spans="1:5" x14ac:dyDescent="0.15">
      <c r="A18" s="80"/>
      <c r="B18" s="81" t="s">
        <v>7</v>
      </c>
      <c r="C18" s="81"/>
      <c r="D18" s="81"/>
      <c r="E18" s="82"/>
    </row>
    <row r="19" spans="1:5" x14ac:dyDescent="0.15">
      <c r="A19" s="80"/>
      <c r="B19" s="81" t="s">
        <v>8</v>
      </c>
      <c r="C19" s="81"/>
      <c r="D19" s="81"/>
      <c r="E19" s="82"/>
    </row>
    <row r="20" spans="1:5" x14ac:dyDescent="0.15">
      <c r="A20" s="80"/>
      <c r="B20" s="81" t="s">
        <v>9</v>
      </c>
      <c r="C20" s="81"/>
      <c r="D20" s="81"/>
      <c r="E20" s="82"/>
    </row>
    <row r="21" spans="1:5" x14ac:dyDescent="0.15">
      <c r="A21" s="83"/>
      <c r="B21" s="84" t="s">
        <v>98</v>
      </c>
      <c r="C21" s="85"/>
      <c r="D21" s="85"/>
      <c r="E21" s="86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I35" sqref="I35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181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10" t="s">
        <v>182</v>
      </c>
      <c r="B2" t="s">
        <v>73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10" t="s">
        <v>183</v>
      </c>
      <c r="B8" t="s">
        <v>73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193</v>
      </c>
      <c r="B1" s="10" t="s">
        <v>194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203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55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135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138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77</v>
      </c>
      <c r="B8" t="s">
        <v>49</v>
      </c>
      <c r="C8" s="36">
        <v>0.15</v>
      </c>
      <c r="D8" s="36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6">
        <v>1</v>
      </c>
      <c r="D9" s="36">
        <v>1</v>
      </c>
      <c r="E9" s="9">
        <v>1</v>
      </c>
      <c r="F9" s="9">
        <v>1</v>
      </c>
    </row>
    <row r="10" spans="1:6" ht="15.75" customHeight="1" x14ac:dyDescent="0.15">
      <c r="A10" t="s">
        <v>139</v>
      </c>
      <c r="B10" t="s">
        <v>49</v>
      </c>
      <c r="C10" s="36">
        <v>0.15</v>
      </c>
      <c r="D10" s="36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6">
        <v>1</v>
      </c>
      <c r="D11" s="36">
        <v>1</v>
      </c>
      <c r="E11" s="9">
        <v>1</v>
      </c>
      <c r="F11" s="9">
        <v>1</v>
      </c>
    </row>
    <row r="12" spans="1:6" ht="15.75" customHeight="1" x14ac:dyDescent="0.15">
      <c r="A12" t="s">
        <v>119</v>
      </c>
      <c r="B12" t="s">
        <v>49</v>
      </c>
      <c r="C12" s="36">
        <v>0.35</v>
      </c>
      <c r="D12" s="36">
        <v>0.35</v>
      </c>
      <c r="E12" s="36">
        <v>0</v>
      </c>
      <c r="F12" s="36">
        <v>0</v>
      </c>
    </row>
    <row r="13" spans="1:6" ht="15.75" customHeight="1" x14ac:dyDescent="0.15">
      <c r="B13" t="s">
        <v>51</v>
      </c>
      <c r="C13">
        <f>'Baseline year demographics'!$C$9</f>
        <v>0.1</v>
      </c>
      <c r="D13">
        <f>'Baseline year demographics'!$C$9</f>
        <v>0.1</v>
      </c>
      <c r="E13" s="36">
        <v>0</v>
      </c>
      <c r="F13" s="36">
        <v>0</v>
      </c>
    </row>
    <row r="14" spans="1:6" ht="15.75" customHeight="1" x14ac:dyDescent="0.15">
      <c r="A14" s="4" t="s">
        <v>78</v>
      </c>
      <c r="B14" t="s">
        <v>49</v>
      </c>
      <c r="C14" s="36">
        <v>0.35</v>
      </c>
      <c r="D14" s="36">
        <v>0.35</v>
      </c>
      <c r="E14" s="36">
        <v>0</v>
      </c>
      <c r="F14" s="36">
        <v>0</v>
      </c>
    </row>
    <row r="15" spans="1:6" ht="15.75" customHeight="1" x14ac:dyDescent="0.15">
      <c r="B15" t="s">
        <v>51</v>
      </c>
      <c r="C15">
        <f>'Baseline year demographics'!$C$9</f>
        <v>0.1</v>
      </c>
      <c r="D15">
        <f>'Baseline year demographics'!$C$9</f>
        <v>0.1</v>
      </c>
      <c r="E15" s="36">
        <v>0</v>
      </c>
      <c r="F15" s="3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B31" sqref="B31"/>
    </sheetView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115</v>
      </c>
      <c r="M1" s="10" t="s">
        <v>116</v>
      </c>
      <c r="N1" s="10" t="s">
        <v>117</v>
      </c>
      <c r="O1" s="10" t="s">
        <v>118</v>
      </c>
    </row>
    <row r="2" spans="1:15" x14ac:dyDescent="0.15">
      <c r="A2" s="10" t="s">
        <v>201</v>
      </c>
      <c r="B2" s="47" t="s">
        <v>77</v>
      </c>
      <c r="C2" s="46">
        <v>1</v>
      </c>
      <c r="D2" s="46">
        <v>1</v>
      </c>
      <c r="E2" s="44">
        <v>1</v>
      </c>
      <c r="F2" s="44">
        <v>1</v>
      </c>
      <c r="G2" s="44">
        <v>1</v>
      </c>
      <c r="H2" s="44">
        <v>1</v>
      </c>
      <c r="I2" s="44">
        <v>1</v>
      </c>
      <c r="J2" s="44">
        <v>1</v>
      </c>
      <c r="K2" s="44">
        <v>1</v>
      </c>
      <c r="L2" s="46">
        <v>0.3</v>
      </c>
      <c r="M2" s="46">
        <v>0.3</v>
      </c>
      <c r="N2" s="46">
        <v>0.3</v>
      </c>
      <c r="O2" s="46">
        <v>0.3</v>
      </c>
    </row>
    <row r="3" spans="1:15" x14ac:dyDescent="0.15">
      <c r="B3" s="47" t="s">
        <v>139</v>
      </c>
      <c r="C3" s="46">
        <v>1</v>
      </c>
      <c r="D3" s="46">
        <v>1</v>
      </c>
      <c r="E3" s="44">
        <v>1</v>
      </c>
      <c r="F3" s="44">
        <v>1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6">
        <v>0.3</v>
      </c>
      <c r="M3" s="46">
        <v>0.3</v>
      </c>
      <c r="N3" s="46">
        <v>0.3</v>
      </c>
      <c r="O3" s="46">
        <v>0.3</v>
      </c>
    </row>
    <row r="4" spans="1:15" x14ac:dyDescent="0.15">
      <c r="B4" t="s">
        <v>135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120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122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123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124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125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126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128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129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130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131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132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133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134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75</v>
      </c>
      <c r="C21">
        <v>1</v>
      </c>
      <c r="D21">
        <v>1</v>
      </c>
      <c r="E21" s="46">
        <v>0.6</v>
      </c>
      <c r="F21" s="46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136</v>
      </c>
      <c r="C22">
        <v>1</v>
      </c>
      <c r="D22">
        <v>1</v>
      </c>
      <c r="E22" s="46">
        <v>0.6</v>
      </c>
      <c r="F22" s="46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6" t="s">
        <v>74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6" t="s">
        <v>137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6" t="s">
        <v>78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202</v>
      </c>
      <c r="B27" s="4" t="s">
        <v>80</v>
      </c>
      <c r="C27">
        <v>1</v>
      </c>
      <c r="D27">
        <v>1</v>
      </c>
      <c r="E27" s="43">
        <v>0.97599999999999998</v>
      </c>
      <c r="F27" s="43">
        <v>0.97599999999999998</v>
      </c>
      <c r="G27" s="43">
        <v>0.97599999999999998</v>
      </c>
      <c r="H27" s="43">
        <v>0.97599999999999998</v>
      </c>
      <c r="I27" s="43">
        <v>0.97599999999999998</v>
      </c>
      <c r="J27" s="43">
        <v>0.97599999999999998</v>
      </c>
      <c r="K27" s="43">
        <v>0.97599999999999998</v>
      </c>
      <c r="L27" s="43">
        <v>0.97599999999999998</v>
      </c>
      <c r="M27" s="43">
        <v>0.97599999999999998</v>
      </c>
      <c r="N27" s="43">
        <v>0.97599999999999998</v>
      </c>
      <c r="O27" s="43">
        <v>0.97599999999999998</v>
      </c>
    </row>
    <row r="28" spans="1:15" x14ac:dyDescent="0.15">
      <c r="B28" s="4" t="s">
        <v>81</v>
      </c>
      <c r="C28">
        <v>1</v>
      </c>
      <c r="D28">
        <v>1</v>
      </c>
      <c r="E28" s="43">
        <v>0.97599999999999998</v>
      </c>
      <c r="F28" s="43">
        <v>0.97599999999999998</v>
      </c>
      <c r="G28" s="43">
        <v>0.97599999999999998</v>
      </c>
      <c r="H28" s="43">
        <v>0.97599999999999998</v>
      </c>
      <c r="I28" s="43">
        <v>0.97599999999999998</v>
      </c>
      <c r="J28" s="43">
        <v>0.97599999999999998</v>
      </c>
      <c r="K28" s="43">
        <v>0.97599999999999998</v>
      </c>
      <c r="L28" s="43">
        <v>0.97599999999999998</v>
      </c>
      <c r="M28" s="43">
        <v>0.97599999999999998</v>
      </c>
      <c r="N28" s="43">
        <v>0.97599999999999998</v>
      </c>
      <c r="O28" s="43">
        <v>0.97599999999999998</v>
      </c>
    </row>
    <row r="29" spans="1:15" x14ac:dyDescent="0.15">
      <c r="B29" s="4" t="s">
        <v>82</v>
      </c>
      <c r="C29">
        <v>1</v>
      </c>
      <c r="D29">
        <v>1</v>
      </c>
      <c r="E29" s="43">
        <v>0.97599999999999998</v>
      </c>
      <c r="F29" s="43">
        <v>0.97599999999999998</v>
      </c>
      <c r="G29" s="43">
        <v>0.97599999999999998</v>
      </c>
      <c r="H29" s="43">
        <v>0.97599999999999998</v>
      </c>
      <c r="I29" s="43">
        <v>0.97599999999999998</v>
      </c>
      <c r="J29" s="43">
        <v>0.97599999999999998</v>
      </c>
      <c r="K29" s="43">
        <v>0.97599999999999998</v>
      </c>
      <c r="L29" s="43">
        <v>0.97599999999999998</v>
      </c>
      <c r="M29" s="43">
        <v>0.97599999999999998</v>
      </c>
      <c r="N29" s="43">
        <v>0.97599999999999998</v>
      </c>
      <c r="O29" s="43">
        <v>0.97599999999999998</v>
      </c>
    </row>
    <row r="30" spans="1:15" x14ac:dyDescent="0.15">
      <c r="B30" s="4" t="s">
        <v>97</v>
      </c>
      <c r="C30">
        <v>1</v>
      </c>
      <c r="D30">
        <v>1</v>
      </c>
      <c r="E30" s="44">
        <v>0.9</v>
      </c>
      <c r="F30" s="44">
        <v>0.9</v>
      </c>
      <c r="G30" s="44">
        <v>0.9</v>
      </c>
      <c r="H30" s="44">
        <v>0.9</v>
      </c>
      <c r="I30" s="44">
        <v>0.9</v>
      </c>
      <c r="J30" s="44">
        <v>0.9</v>
      </c>
      <c r="K30" s="44">
        <v>0.9</v>
      </c>
      <c r="L30" s="44">
        <v>0.9</v>
      </c>
      <c r="M30" s="44">
        <v>0.9</v>
      </c>
      <c r="N30" s="44">
        <v>0.9</v>
      </c>
      <c r="O30" s="44">
        <v>0.9</v>
      </c>
    </row>
    <row r="31" spans="1:15" x14ac:dyDescent="0.15">
      <c r="B31" s="47" t="s">
        <v>144</v>
      </c>
      <c r="C31">
        <v>1</v>
      </c>
      <c r="D31">
        <v>1</v>
      </c>
      <c r="E31" s="43">
        <v>0.97599999999999998</v>
      </c>
      <c r="F31" s="43">
        <v>0.97599999999999998</v>
      </c>
      <c r="G31" s="43">
        <v>0.97599999999999998</v>
      </c>
      <c r="H31" s="43">
        <v>0.97599999999999998</v>
      </c>
      <c r="I31" s="43">
        <v>0.97599999999999998</v>
      </c>
      <c r="J31" s="43">
        <v>0.97599999999999998</v>
      </c>
      <c r="K31" s="43">
        <v>0.97599999999999998</v>
      </c>
      <c r="L31" s="43">
        <v>0.97599999999999998</v>
      </c>
      <c r="M31" s="43">
        <v>0.97599999999999998</v>
      </c>
      <c r="N31" s="43">
        <v>0.97599999999999998</v>
      </c>
      <c r="O31" s="43">
        <v>0.97599999999999998</v>
      </c>
    </row>
    <row r="32" spans="1:15" x14ac:dyDescent="0.15">
      <c r="B32" s="47" t="s">
        <v>145</v>
      </c>
      <c r="C32">
        <v>1</v>
      </c>
      <c r="D32">
        <v>1</v>
      </c>
      <c r="E32" s="43">
        <v>0.97599999999999998</v>
      </c>
      <c r="F32" s="43">
        <v>0.97599999999999998</v>
      </c>
      <c r="G32" s="43">
        <v>0.97599999999999998</v>
      </c>
      <c r="H32" s="43">
        <v>0.97599999999999998</v>
      </c>
      <c r="I32" s="43">
        <v>0.97599999999999998</v>
      </c>
      <c r="J32" s="43">
        <v>0.97599999999999998</v>
      </c>
      <c r="K32" s="43">
        <v>0.97599999999999998</v>
      </c>
      <c r="L32" s="43">
        <v>0.97599999999999998</v>
      </c>
      <c r="M32" s="43">
        <v>0.97599999999999998</v>
      </c>
      <c r="N32" s="43">
        <v>0.97599999999999998</v>
      </c>
      <c r="O32" s="43">
        <v>0.97599999999999998</v>
      </c>
    </row>
    <row r="33" spans="2:15" x14ac:dyDescent="0.15">
      <c r="B33" s="47" t="s">
        <v>146</v>
      </c>
      <c r="C33">
        <v>1</v>
      </c>
      <c r="D33">
        <v>1</v>
      </c>
      <c r="E33" s="43">
        <v>0.97599999999999998</v>
      </c>
      <c r="F33" s="43">
        <v>0.97599999999999998</v>
      </c>
      <c r="G33" s="43">
        <v>0.97599999999999998</v>
      </c>
      <c r="H33" s="43">
        <v>0.97599999999999998</v>
      </c>
      <c r="I33" s="43">
        <v>0.97599999999999998</v>
      </c>
      <c r="J33" s="43">
        <v>0.97599999999999998</v>
      </c>
      <c r="K33" s="43">
        <v>0.97599999999999998</v>
      </c>
      <c r="L33" s="43">
        <v>0.97599999999999998</v>
      </c>
      <c r="M33" s="43">
        <v>0.97599999999999998</v>
      </c>
      <c r="N33" s="43">
        <v>0.97599999999999998</v>
      </c>
      <c r="O33" s="43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255</v>
      </c>
      <c r="B2" s="46" t="s">
        <v>152</v>
      </c>
      <c r="C2" s="46">
        <v>1</v>
      </c>
      <c r="D2" s="46">
        <v>0.21</v>
      </c>
      <c r="E2" s="46">
        <v>0.21</v>
      </c>
      <c r="F2" s="46">
        <v>0.21</v>
      </c>
      <c r="G2" s="46">
        <v>0.21</v>
      </c>
    </row>
    <row r="4" spans="1:7" x14ac:dyDescent="0.15">
      <c r="A4" s="10" t="s">
        <v>256</v>
      </c>
      <c r="B4" s="47" t="s">
        <v>151</v>
      </c>
      <c r="C4" s="46">
        <v>1</v>
      </c>
      <c r="D4" s="46">
        <v>0.14299999999999999</v>
      </c>
      <c r="E4" s="46">
        <v>0.14299999999999999</v>
      </c>
      <c r="F4" s="46">
        <v>0.14299999999999999</v>
      </c>
      <c r="G4" s="46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52"/>
  <sheetViews>
    <sheetView workbookViewId="0">
      <selection activeCell="B49" sqref="B49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213</v>
      </c>
      <c r="C2" s="4" t="s">
        <v>102</v>
      </c>
      <c r="D2" s="4">
        <v>0</v>
      </c>
      <c r="E2" s="4">
        <v>0</v>
      </c>
      <c r="F2" s="4">
        <v>0.33500000000000002</v>
      </c>
      <c r="G2" s="28">
        <v>0.33500000000000002</v>
      </c>
      <c r="H2" s="28">
        <v>0.33500000000000002</v>
      </c>
    </row>
    <row r="3" spans="1:8" x14ac:dyDescent="0.15">
      <c r="C3" t="s">
        <v>63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64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6" t="s">
        <v>216</v>
      </c>
      <c r="C5" s="47" t="s">
        <v>102</v>
      </c>
      <c r="D5" s="47">
        <v>0</v>
      </c>
      <c r="E5" s="47">
        <v>0</v>
      </c>
      <c r="F5" s="47">
        <v>0.33500000000000002</v>
      </c>
      <c r="G5" s="48">
        <v>0.33500000000000002</v>
      </c>
      <c r="H5" s="48">
        <v>0.33500000000000002</v>
      </c>
    </row>
    <row r="6" spans="1:8" x14ac:dyDescent="0.15">
      <c r="A6" s="4" t="s">
        <v>127</v>
      </c>
      <c r="B6" s="4" t="s">
        <v>148</v>
      </c>
      <c r="C6" s="4" t="s">
        <v>102</v>
      </c>
      <c r="D6" s="47">
        <v>0</v>
      </c>
      <c r="E6" s="47">
        <v>0</v>
      </c>
      <c r="F6" s="47">
        <v>0.33500000000000002</v>
      </c>
      <c r="G6" s="48">
        <v>0.33500000000000002</v>
      </c>
      <c r="H6" s="48">
        <v>0.33500000000000002</v>
      </c>
    </row>
    <row r="7" spans="1:8" x14ac:dyDescent="0.15">
      <c r="C7" s="4" t="s">
        <v>64</v>
      </c>
      <c r="D7" s="47">
        <v>0</v>
      </c>
      <c r="E7" s="47">
        <v>0</v>
      </c>
      <c r="F7" s="47">
        <v>0.62</v>
      </c>
      <c r="G7" s="47">
        <v>0.62</v>
      </c>
      <c r="H7" s="47">
        <v>0.62</v>
      </c>
    </row>
    <row r="8" spans="1:8" x14ac:dyDescent="0.15">
      <c r="B8" t="s">
        <v>147</v>
      </c>
      <c r="C8" s="4" t="s">
        <v>102</v>
      </c>
      <c r="D8" s="47">
        <v>0</v>
      </c>
      <c r="E8" s="47">
        <v>0</v>
      </c>
      <c r="F8" s="47">
        <v>0.33500000000000002</v>
      </c>
      <c r="G8" s="48">
        <v>0.33500000000000002</v>
      </c>
      <c r="H8" s="48">
        <v>0.33500000000000002</v>
      </c>
    </row>
    <row r="9" spans="1:8" x14ac:dyDescent="0.15">
      <c r="C9" s="4" t="s">
        <v>64</v>
      </c>
      <c r="D9" s="47">
        <v>0</v>
      </c>
      <c r="E9" s="47">
        <v>0</v>
      </c>
      <c r="F9" s="47">
        <v>0.62</v>
      </c>
      <c r="G9" s="47">
        <v>0.62</v>
      </c>
      <c r="H9" s="47">
        <v>0.62</v>
      </c>
    </row>
    <row r="10" spans="1:8" x14ac:dyDescent="0.15">
      <c r="A10" s="4" t="s">
        <v>75</v>
      </c>
      <c r="B10" s="4" t="s">
        <v>148</v>
      </c>
      <c r="C10" s="4" t="s">
        <v>102</v>
      </c>
      <c r="D10" s="47">
        <v>0</v>
      </c>
      <c r="E10" s="47">
        <v>0</v>
      </c>
      <c r="F10" s="47">
        <v>0.33500000000000002</v>
      </c>
      <c r="G10" s="48">
        <v>0.33500000000000002</v>
      </c>
      <c r="H10" s="48">
        <v>0.33500000000000002</v>
      </c>
    </row>
    <row r="11" spans="1:8" x14ac:dyDescent="0.15">
      <c r="C11" s="4" t="s">
        <v>64</v>
      </c>
      <c r="D11" s="47">
        <v>0</v>
      </c>
      <c r="E11" s="47">
        <v>0</v>
      </c>
      <c r="F11" s="47">
        <v>0.62</v>
      </c>
      <c r="G11" s="47">
        <v>0.62</v>
      </c>
      <c r="H11" s="47">
        <v>0.62</v>
      </c>
    </row>
    <row r="12" spans="1:8" x14ac:dyDescent="0.15">
      <c r="B12" t="s">
        <v>147</v>
      </c>
      <c r="C12" s="4" t="s">
        <v>102</v>
      </c>
      <c r="D12" s="47">
        <v>0</v>
      </c>
      <c r="E12" s="47">
        <v>0</v>
      </c>
      <c r="F12" s="47">
        <v>0.33500000000000002</v>
      </c>
      <c r="G12" s="48">
        <v>0.33500000000000002</v>
      </c>
      <c r="H12" s="48">
        <v>0.33500000000000002</v>
      </c>
    </row>
    <row r="13" spans="1:8" x14ac:dyDescent="0.15">
      <c r="C13" s="4" t="s">
        <v>64</v>
      </c>
      <c r="D13" s="47">
        <v>0</v>
      </c>
      <c r="E13" s="47">
        <v>0</v>
      </c>
      <c r="F13" s="47">
        <v>0.62</v>
      </c>
      <c r="G13" s="47">
        <v>0.62</v>
      </c>
      <c r="H13" s="47">
        <v>0.62</v>
      </c>
    </row>
    <row r="14" spans="1:8" x14ac:dyDescent="0.15">
      <c r="A14" s="4" t="s">
        <v>136</v>
      </c>
      <c r="B14" s="4" t="s">
        <v>148</v>
      </c>
      <c r="C14" s="4" t="s">
        <v>102</v>
      </c>
      <c r="D14" s="47">
        <v>0</v>
      </c>
      <c r="E14" s="47">
        <v>0</v>
      </c>
      <c r="F14" s="47">
        <v>0.33500000000000002</v>
      </c>
      <c r="G14" s="48">
        <v>0.33500000000000002</v>
      </c>
      <c r="H14" s="48">
        <v>0.33500000000000002</v>
      </c>
    </row>
    <row r="15" spans="1:8" x14ac:dyDescent="0.15">
      <c r="C15" s="4" t="s">
        <v>64</v>
      </c>
      <c r="D15" s="47">
        <v>0</v>
      </c>
      <c r="E15" s="47">
        <v>0</v>
      </c>
      <c r="F15" s="47">
        <v>0.62</v>
      </c>
      <c r="G15" s="47">
        <v>0.62</v>
      </c>
      <c r="H15" s="47">
        <v>0.62</v>
      </c>
    </row>
    <row r="16" spans="1:8" x14ac:dyDescent="0.15">
      <c r="B16" t="s">
        <v>147</v>
      </c>
      <c r="C16" s="4" t="s">
        <v>102</v>
      </c>
      <c r="D16" s="47">
        <v>0</v>
      </c>
      <c r="E16" s="47">
        <v>0</v>
      </c>
      <c r="F16" s="47">
        <v>0.33500000000000002</v>
      </c>
      <c r="G16" s="48">
        <v>0.33500000000000002</v>
      </c>
      <c r="H16" s="48">
        <v>0.33500000000000002</v>
      </c>
    </row>
    <row r="17" spans="1:9" x14ac:dyDescent="0.15">
      <c r="C17" s="4" t="s">
        <v>64</v>
      </c>
      <c r="D17" s="47">
        <v>0</v>
      </c>
      <c r="E17" s="47">
        <v>0</v>
      </c>
      <c r="F17" s="47">
        <v>0.62</v>
      </c>
      <c r="G17" s="47">
        <v>0.62</v>
      </c>
      <c r="H17" s="47">
        <v>0.62</v>
      </c>
    </row>
    <row r="18" spans="1:9" x14ac:dyDescent="0.15">
      <c r="A18" t="s">
        <v>143</v>
      </c>
      <c r="B18" t="s">
        <v>148</v>
      </c>
      <c r="C18" s="4" t="s">
        <v>102</v>
      </c>
      <c r="D18" s="47">
        <v>0</v>
      </c>
      <c r="E18" s="47">
        <v>0</v>
      </c>
      <c r="F18" s="47">
        <v>0.33500000000000002</v>
      </c>
      <c r="G18" s="48">
        <v>0.33500000000000002</v>
      </c>
      <c r="H18" s="48">
        <v>0.33500000000000002</v>
      </c>
    </row>
    <row r="19" spans="1:9" x14ac:dyDescent="0.15">
      <c r="C19" s="4" t="s">
        <v>64</v>
      </c>
      <c r="D19" s="47">
        <v>0</v>
      </c>
      <c r="E19" s="47">
        <v>0</v>
      </c>
      <c r="F19" s="47">
        <v>0.7</v>
      </c>
      <c r="G19" s="47">
        <v>0.62</v>
      </c>
      <c r="H19" s="47">
        <v>0.62</v>
      </c>
      <c r="I19" s="11"/>
    </row>
    <row r="20" spans="1:9" x14ac:dyDescent="0.15">
      <c r="B20" t="s">
        <v>147</v>
      </c>
      <c r="C20" s="4" t="s">
        <v>102</v>
      </c>
      <c r="D20" s="51">
        <v>0</v>
      </c>
      <c r="E20" s="51">
        <v>0</v>
      </c>
      <c r="F20" s="51">
        <v>0.33500000000000002</v>
      </c>
      <c r="G20" s="52">
        <v>0.33500000000000002</v>
      </c>
      <c r="H20" s="52">
        <v>0.33500000000000002</v>
      </c>
      <c r="I20" s="11"/>
    </row>
    <row r="21" spans="1:9" x14ac:dyDescent="0.15">
      <c r="C21" s="4" t="s">
        <v>64</v>
      </c>
      <c r="D21" s="51">
        <v>0</v>
      </c>
      <c r="E21" s="51">
        <v>0</v>
      </c>
      <c r="F21" s="51">
        <v>0.84</v>
      </c>
      <c r="G21" s="51">
        <v>0.62</v>
      </c>
      <c r="H21" s="51">
        <v>0.62</v>
      </c>
      <c r="I21" s="11"/>
    </row>
    <row r="22" spans="1:9" x14ac:dyDescent="0.15">
      <c r="A22" s="12" t="s">
        <v>144</v>
      </c>
      <c r="B22" t="s">
        <v>43</v>
      </c>
      <c r="C22" s="4" t="s">
        <v>102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63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145</v>
      </c>
      <c r="B24" t="s">
        <v>43</v>
      </c>
      <c r="C24" s="4" t="s">
        <v>102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63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146</v>
      </c>
      <c r="B26" t="s">
        <v>43</v>
      </c>
      <c r="C26" s="4" t="s">
        <v>102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63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257</v>
      </c>
      <c r="B28" s="4" t="s">
        <v>213</v>
      </c>
      <c r="C28" s="4" t="s">
        <v>102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63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64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258</v>
      </c>
      <c r="B31" s="4" t="s">
        <v>213</v>
      </c>
      <c r="C31" s="4" t="s">
        <v>102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63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64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259</v>
      </c>
      <c r="B34" s="4" t="s">
        <v>213</v>
      </c>
      <c r="C34" s="4" t="s">
        <v>102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63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64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260</v>
      </c>
      <c r="B37" s="4" t="s">
        <v>213</v>
      </c>
      <c r="C37" s="4" t="s">
        <v>102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63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64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261</v>
      </c>
      <c r="B40" s="4" t="s">
        <v>213</v>
      </c>
      <c r="C40" s="4" t="s">
        <v>102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63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64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140</v>
      </c>
      <c r="B43" s="4" t="s">
        <v>213</v>
      </c>
      <c r="C43" s="4" t="s">
        <v>102</v>
      </c>
      <c r="D43" s="12">
        <v>1</v>
      </c>
      <c r="E43" s="12">
        <v>1</v>
      </c>
      <c r="F43" s="12">
        <v>1</v>
      </c>
      <c r="G43" s="12">
        <v>1</v>
      </c>
      <c r="H43" s="12">
        <v>1</v>
      </c>
    </row>
    <row r="44" spans="1:8" x14ac:dyDescent="0.15">
      <c r="C44" t="s">
        <v>63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64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A46" t="s">
        <v>140</v>
      </c>
      <c r="B46" s="4" t="s">
        <v>28</v>
      </c>
      <c r="C46" s="4" t="s">
        <v>102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 x14ac:dyDescent="0.15">
      <c r="C47" t="s">
        <v>63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64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262</v>
      </c>
      <c r="B49" s="4" t="s">
        <v>213</v>
      </c>
      <c r="C49" s="4" t="s">
        <v>102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63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263</v>
      </c>
      <c r="B51" s="4" t="s">
        <v>213</v>
      </c>
      <c r="C51" s="4" t="s">
        <v>102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63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11"/>
  <sheetViews>
    <sheetView workbookViewId="0">
      <selection activeCell="B3" sqref="B3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175</v>
      </c>
      <c r="B1" s="10" t="s">
        <v>176</v>
      </c>
      <c r="C1" s="10" t="s">
        <v>11</v>
      </c>
      <c r="D1" s="10" t="s">
        <v>184</v>
      </c>
      <c r="E1" s="10" t="s">
        <v>186</v>
      </c>
    </row>
    <row r="2" spans="1:5" ht="14" x14ac:dyDescent="0.15">
      <c r="A2" s="64" t="s">
        <v>166</v>
      </c>
      <c r="B2" s="65">
        <v>0.9</v>
      </c>
      <c r="C2" s="71">
        <v>0.09</v>
      </c>
      <c r="D2">
        <v>0.8</v>
      </c>
      <c r="E2">
        <f>C2*D2</f>
        <v>7.1999999999999995E-2</v>
      </c>
    </row>
    <row r="3" spans="1:5" ht="14" x14ac:dyDescent="0.15">
      <c r="A3" s="64" t="s">
        <v>167</v>
      </c>
      <c r="B3" s="65">
        <v>1</v>
      </c>
      <c r="C3" s="71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64" t="s">
        <v>168</v>
      </c>
      <c r="B4" s="65">
        <v>1</v>
      </c>
      <c r="C4" s="71">
        <v>0.08</v>
      </c>
      <c r="D4">
        <v>2</v>
      </c>
      <c r="E4">
        <f t="shared" si="0"/>
        <v>0.16</v>
      </c>
    </row>
    <row r="5" spans="1:5" ht="14" x14ac:dyDescent="0.15">
      <c r="A5" s="64" t="s">
        <v>171</v>
      </c>
      <c r="B5" s="65">
        <v>1</v>
      </c>
      <c r="C5" s="71">
        <v>0.18</v>
      </c>
      <c r="D5">
        <v>0.7</v>
      </c>
      <c r="E5">
        <f t="shared" si="0"/>
        <v>0.126</v>
      </c>
    </row>
    <row r="6" spans="1:5" ht="14" x14ac:dyDescent="0.15">
      <c r="A6" s="64" t="s">
        <v>172</v>
      </c>
      <c r="B6" s="65">
        <v>1</v>
      </c>
      <c r="C6" s="71">
        <v>0.02</v>
      </c>
      <c r="D6">
        <v>0.7</v>
      </c>
      <c r="E6">
        <f t="shared" si="0"/>
        <v>1.3999999999999999E-2</v>
      </c>
    </row>
    <row r="7" spans="1:5" ht="14" x14ac:dyDescent="0.15">
      <c r="A7" s="64" t="s">
        <v>169</v>
      </c>
      <c r="B7" s="65">
        <v>0.93</v>
      </c>
      <c r="C7" s="71">
        <v>0.45</v>
      </c>
      <c r="D7">
        <v>0.9</v>
      </c>
      <c r="E7">
        <f t="shared" si="0"/>
        <v>0.40500000000000003</v>
      </c>
    </row>
    <row r="8" spans="1:5" ht="14" x14ac:dyDescent="0.15">
      <c r="A8" s="64" t="s">
        <v>170</v>
      </c>
      <c r="B8" s="65">
        <v>0.5</v>
      </c>
      <c r="C8" s="71">
        <v>0.03</v>
      </c>
      <c r="D8">
        <v>0</v>
      </c>
      <c r="E8">
        <f t="shared" si="0"/>
        <v>0</v>
      </c>
    </row>
    <row r="9" spans="1:5" ht="14" x14ac:dyDescent="0.15">
      <c r="A9" s="64" t="s">
        <v>173</v>
      </c>
      <c r="B9" s="65">
        <v>0.5</v>
      </c>
      <c r="C9" s="71">
        <v>0.11</v>
      </c>
      <c r="D9">
        <v>0</v>
      </c>
      <c r="E9">
        <f t="shared" si="0"/>
        <v>0</v>
      </c>
    </row>
    <row r="10" spans="1:5" ht="14" x14ac:dyDescent="0.15">
      <c r="A10" s="64" t="s">
        <v>174</v>
      </c>
      <c r="B10" s="65">
        <v>0.98</v>
      </c>
      <c r="C10" s="71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F13" sqref="F13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60</v>
      </c>
      <c r="D1" s="10" t="s">
        <v>111</v>
      </c>
      <c r="E1" s="10" t="s">
        <v>112</v>
      </c>
      <c r="F1" s="10" t="s">
        <v>113</v>
      </c>
      <c r="G1" s="10" t="s">
        <v>114</v>
      </c>
      <c r="H1" s="10" t="s">
        <v>61</v>
      </c>
      <c r="I1" s="10" t="s">
        <v>50</v>
      </c>
      <c r="J1" s="10" t="s">
        <v>68</v>
      </c>
      <c r="K1" s="10" t="s">
        <v>83</v>
      </c>
      <c r="L1" s="10" t="s">
        <v>106</v>
      </c>
    </row>
    <row r="2" spans="1:12" ht="15.75" customHeight="1" x14ac:dyDescent="0.15">
      <c r="A2" s="3">
        <v>2017</v>
      </c>
      <c r="B2" s="21">
        <v>3095470</v>
      </c>
      <c r="C2" s="22">
        <v>15402200</v>
      </c>
      <c r="D2" s="22">
        <v>8785700</v>
      </c>
      <c r="E2" s="22">
        <v>13889200</v>
      </c>
      <c r="F2" s="22">
        <v>12671800</v>
      </c>
      <c r="G2" s="22">
        <v>9362400</v>
      </c>
      <c r="H2" s="23">
        <f>D2+E2+F2+G2</f>
        <v>44709100</v>
      </c>
      <c r="I2" s="24">
        <f t="shared" ref="I2:I15" si="0">(B2 + 25.36*B2/(1000-25.36))/(1-0.13)</f>
        <v>3650590.4685349194</v>
      </c>
      <c r="J2" s="25">
        <f t="shared" ref="J2:J15" si="1">D2/H2</f>
        <v>0.19650809343064388</v>
      </c>
      <c r="K2" s="23">
        <f>H2-I2</f>
        <v>41058509.531465083</v>
      </c>
      <c r="L2" s="42">
        <v>173766200</v>
      </c>
    </row>
    <row r="3" spans="1:12" ht="15.75" customHeight="1" x14ac:dyDescent="0.15">
      <c r="A3" s="3">
        <v>2018</v>
      </c>
      <c r="B3" s="21">
        <v>3071259</v>
      </c>
      <c r="C3" s="22">
        <v>15629400.000000002</v>
      </c>
      <c r="D3" s="22">
        <v>8937400.0000000019</v>
      </c>
      <c r="E3" s="22">
        <v>14228400.000000002</v>
      </c>
      <c r="F3" s="22">
        <v>12949600</v>
      </c>
      <c r="G3" s="22">
        <v>9576800</v>
      </c>
      <c r="H3" s="23">
        <f t="shared" ref="H3:H15" si="2">D3+E3+F3+G3</f>
        <v>45692200</v>
      </c>
      <c r="I3" s="24">
        <f t="shared" si="0"/>
        <v>3622037.632993402</v>
      </c>
      <c r="J3" s="25">
        <f t="shared" si="1"/>
        <v>0.19560012431005733</v>
      </c>
      <c r="K3" s="23">
        <f t="shared" ref="K3:K15" si="3">H3-I3</f>
        <v>42070162.3670066</v>
      </c>
      <c r="L3" s="42">
        <v>175848400</v>
      </c>
    </row>
    <row r="4" spans="1:12" ht="15.75" customHeight="1" x14ac:dyDescent="0.15">
      <c r="A4" s="3">
        <v>2019</v>
      </c>
      <c r="B4" s="21">
        <v>3045241</v>
      </c>
      <c r="C4" s="22">
        <v>15856600.000000002</v>
      </c>
      <c r="D4" s="22">
        <v>9089100.0000000019</v>
      </c>
      <c r="E4" s="22">
        <v>14567600.000000002</v>
      </c>
      <c r="F4" s="22">
        <v>13227400</v>
      </c>
      <c r="G4" s="22">
        <v>9791200.0000000019</v>
      </c>
      <c r="H4" s="23">
        <f t="shared" si="2"/>
        <v>46675300</v>
      </c>
      <c r="I4" s="24">
        <f t="shared" si="0"/>
        <v>3591353.7424015561</v>
      </c>
      <c r="J4" s="25">
        <f t="shared" si="1"/>
        <v>0.19473040344679096</v>
      </c>
      <c r="K4" s="23">
        <f t="shared" si="3"/>
        <v>43083946.257598445</v>
      </c>
      <c r="L4" s="42">
        <v>177930600</v>
      </c>
    </row>
    <row r="5" spans="1:12" ht="15.75" customHeight="1" x14ac:dyDescent="0.15">
      <c r="A5" s="3">
        <v>2020</v>
      </c>
      <c r="B5" s="21">
        <v>3017266</v>
      </c>
      <c r="C5" s="22">
        <v>16083800.000000004</v>
      </c>
      <c r="D5" s="22">
        <v>9240800.0000000037</v>
      </c>
      <c r="E5" s="22">
        <v>14906800.000000004</v>
      </c>
      <c r="F5" s="22">
        <v>13505200</v>
      </c>
      <c r="G5" s="22">
        <v>10005600.000000004</v>
      </c>
      <c r="H5" s="23">
        <f t="shared" si="2"/>
        <v>47658400.000000015</v>
      </c>
      <c r="I5" s="24">
        <f t="shared" si="0"/>
        <v>3558361.8967828737</v>
      </c>
      <c r="J5" s="25">
        <f t="shared" si="1"/>
        <v>0.19389656387960991</v>
      </c>
      <c r="K5" s="23">
        <f t="shared" si="3"/>
        <v>44100038.10321714</v>
      </c>
      <c r="L5" s="42">
        <v>180012800</v>
      </c>
    </row>
    <row r="6" spans="1:12" ht="15.75" customHeight="1" x14ac:dyDescent="0.15">
      <c r="A6" s="3">
        <v>2021</v>
      </c>
      <c r="B6" s="21">
        <v>2990677</v>
      </c>
      <c r="C6" s="22">
        <v>16311000.000000004</v>
      </c>
      <c r="D6" s="22">
        <v>9392500.0000000037</v>
      </c>
      <c r="E6" s="22">
        <v>15246000.000000004</v>
      </c>
      <c r="F6" s="22">
        <v>13783000</v>
      </c>
      <c r="G6" s="22">
        <v>10220000.000000004</v>
      </c>
      <c r="H6" s="23">
        <f t="shared" si="2"/>
        <v>48641500.000000015</v>
      </c>
      <c r="I6" s="24">
        <f t="shared" si="0"/>
        <v>3527004.6069471212</v>
      </c>
      <c r="J6" s="25">
        <f t="shared" si="1"/>
        <v>0.1930964300031866</v>
      </c>
      <c r="K6" s="23">
        <f t="shared" si="3"/>
        <v>45114495.393052891</v>
      </c>
      <c r="L6" s="42">
        <v>182095000</v>
      </c>
    </row>
    <row r="7" spans="1:12" ht="15.75" customHeight="1" x14ac:dyDescent="0.15">
      <c r="A7" s="3">
        <v>2022</v>
      </c>
      <c r="B7" s="21">
        <v>2962144</v>
      </c>
      <c r="C7" s="22">
        <v>16190600.000000004</v>
      </c>
      <c r="D7" s="22">
        <v>9004300.0000000037</v>
      </c>
      <c r="E7" s="22">
        <v>15785700.000000004</v>
      </c>
      <c r="F7" s="22">
        <v>13711700</v>
      </c>
      <c r="G7" s="22">
        <v>10609600.000000004</v>
      </c>
      <c r="H7" s="23">
        <f t="shared" si="2"/>
        <v>49111300.000000015</v>
      </c>
      <c r="I7" s="24">
        <f t="shared" si="0"/>
        <v>3493354.6934158299</v>
      </c>
      <c r="J7" s="25">
        <f t="shared" si="1"/>
        <v>0.1833447699409301</v>
      </c>
      <c r="K7" s="23">
        <f t="shared" si="3"/>
        <v>45617945.306584187</v>
      </c>
      <c r="L7" s="42">
        <v>183822800</v>
      </c>
    </row>
    <row r="8" spans="1:12" ht="15.75" customHeight="1" x14ac:dyDescent="0.15">
      <c r="A8" s="3">
        <v>2023</v>
      </c>
      <c r="B8" s="21">
        <v>2931643</v>
      </c>
      <c r="C8" s="22">
        <v>16070200.000000004</v>
      </c>
      <c r="D8" s="22">
        <v>8616100.0000000019</v>
      </c>
      <c r="E8" s="22">
        <v>16325400.000000004</v>
      </c>
      <c r="F8" s="22">
        <v>13640400</v>
      </c>
      <c r="G8" s="22">
        <v>10999200.000000002</v>
      </c>
      <c r="H8" s="23">
        <f t="shared" si="2"/>
        <v>49581100.000000007</v>
      </c>
      <c r="I8" s="24">
        <f t="shared" si="0"/>
        <v>3457383.8521927581</v>
      </c>
      <c r="J8" s="25">
        <f t="shared" si="1"/>
        <v>0.17377791134121673</v>
      </c>
      <c r="K8" s="23">
        <f t="shared" si="3"/>
        <v>46123716.147807248</v>
      </c>
      <c r="L8" s="42">
        <v>185550600</v>
      </c>
    </row>
    <row r="9" spans="1:12" ht="15.75" customHeight="1" x14ac:dyDescent="0.15">
      <c r="A9" s="3">
        <v>2024</v>
      </c>
      <c r="B9" s="21">
        <v>2899255</v>
      </c>
      <c r="C9" s="22">
        <v>15949800.000000006</v>
      </c>
      <c r="D9" s="22">
        <v>8227900.0000000019</v>
      </c>
      <c r="E9" s="22">
        <v>16865100.000000004</v>
      </c>
      <c r="F9" s="22">
        <v>13569100</v>
      </c>
      <c r="G9" s="22">
        <v>11388800</v>
      </c>
      <c r="H9" s="23">
        <f t="shared" si="2"/>
        <v>50050900.000000007</v>
      </c>
      <c r="I9" s="24">
        <f t="shared" si="0"/>
        <v>3419187.609265219</v>
      </c>
      <c r="J9" s="25">
        <f t="shared" si="1"/>
        <v>0.16439065031797631</v>
      </c>
      <c r="K9" s="23">
        <f t="shared" si="3"/>
        <v>46631712.390734792</v>
      </c>
      <c r="L9" s="42">
        <v>187278400</v>
      </c>
    </row>
    <row r="10" spans="1:12" ht="15.75" customHeight="1" x14ac:dyDescent="0.15">
      <c r="A10" s="3">
        <v>2025</v>
      </c>
      <c r="B10" s="21">
        <v>2865008</v>
      </c>
      <c r="C10" s="22">
        <v>15829400.000000006</v>
      </c>
      <c r="D10" s="22">
        <v>7839700.0000000019</v>
      </c>
      <c r="E10" s="22">
        <v>17404800.000000004</v>
      </c>
      <c r="F10" s="22">
        <v>13497800</v>
      </c>
      <c r="G10" s="22">
        <v>11778400</v>
      </c>
      <c r="H10" s="23">
        <f t="shared" si="2"/>
        <v>50520700.000000007</v>
      </c>
      <c r="I10" s="24">
        <f t="shared" si="0"/>
        <v>3378798.9859621613</v>
      </c>
      <c r="J10" s="25">
        <f t="shared" si="1"/>
        <v>0.15517797655218554</v>
      </c>
      <c r="K10" s="23">
        <f t="shared" si="3"/>
        <v>47141901.014037848</v>
      </c>
      <c r="L10" s="42">
        <v>189006200</v>
      </c>
    </row>
    <row r="11" spans="1:12" ht="15.75" customHeight="1" x14ac:dyDescent="0.15">
      <c r="A11" s="3">
        <v>2026</v>
      </c>
      <c r="B11" s="21">
        <v>2836142</v>
      </c>
      <c r="C11" s="22">
        <v>15709000.000000006</v>
      </c>
      <c r="D11" s="22">
        <v>7451500.0000000019</v>
      </c>
      <c r="E11" s="22">
        <v>17944500</v>
      </c>
      <c r="F11" s="22">
        <v>13426500</v>
      </c>
      <c r="G11" s="22">
        <v>12168000</v>
      </c>
      <c r="H11" s="23">
        <f t="shared" si="2"/>
        <v>50990500</v>
      </c>
      <c r="I11" s="24">
        <f t="shared" si="0"/>
        <v>3344756.3544830228</v>
      </c>
      <c r="J11" s="25">
        <f t="shared" si="1"/>
        <v>0.1461350643747365</v>
      </c>
      <c r="K11" s="23">
        <f t="shared" si="3"/>
        <v>47645743.645516977</v>
      </c>
      <c r="L11" s="42">
        <v>190734000</v>
      </c>
    </row>
    <row r="12" spans="1:12" ht="15.75" customHeight="1" x14ac:dyDescent="0.15">
      <c r="A12" s="3">
        <v>2027</v>
      </c>
      <c r="B12" s="21">
        <v>2805541</v>
      </c>
      <c r="C12" s="22">
        <v>15358200.000000006</v>
      </c>
      <c r="D12" s="22">
        <v>7411700.0000000019</v>
      </c>
      <c r="E12" s="22">
        <v>17710400</v>
      </c>
      <c r="F12" s="22">
        <v>13766300</v>
      </c>
      <c r="G12" s="22">
        <v>12445000</v>
      </c>
      <c r="H12" s="23">
        <f t="shared" si="2"/>
        <v>51333400</v>
      </c>
      <c r="I12" s="24">
        <f t="shared" si="0"/>
        <v>3308667.5799422786</v>
      </c>
      <c r="J12" s="25">
        <f t="shared" si="1"/>
        <v>0.14438357872262508</v>
      </c>
      <c r="K12" s="23">
        <f t="shared" si="3"/>
        <v>48024732.420057721</v>
      </c>
      <c r="L12" s="42">
        <v>192287600</v>
      </c>
    </row>
    <row r="13" spans="1:12" ht="15.75" customHeight="1" x14ac:dyDescent="0.15">
      <c r="A13" s="3">
        <v>2028</v>
      </c>
      <c r="B13" s="21">
        <v>2773236</v>
      </c>
      <c r="C13" s="22">
        <v>15007400.000000007</v>
      </c>
      <c r="D13" s="22">
        <v>7371900.0000000019</v>
      </c>
      <c r="E13" s="22">
        <v>17476300</v>
      </c>
      <c r="F13" s="22">
        <v>14106100</v>
      </c>
      <c r="G13" s="22">
        <v>12722000</v>
      </c>
      <c r="H13" s="23">
        <f t="shared" si="2"/>
        <v>51676300</v>
      </c>
      <c r="I13" s="24">
        <f t="shared" si="0"/>
        <v>3270569.2216684073</v>
      </c>
      <c r="J13" s="25">
        <f t="shared" si="1"/>
        <v>0.14265533716616713</v>
      </c>
      <c r="K13" s="23">
        <f t="shared" si="3"/>
        <v>48405730.778331593</v>
      </c>
      <c r="L13" s="42">
        <v>193841200</v>
      </c>
    </row>
    <row r="14" spans="1:12" ht="15.75" customHeight="1" x14ac:dyDescent="0.15">
      <c r="A14" s="3">
        <v>2029</v>
      </c>
      <c r="B14" s="21">
        <v>2739273</v>
      </c>
      <c r="C14" s="22">
        <v>14656600.000000007</v>
      </c>
      <c r="D14" s="22">
        <v>7332100.0000000009</v>
      </c>
      <c r="E14" s="22">
        <v>17242200</v>
      </c>
      <c r="F14" s="22">
        <v>14445900</v>
      </c>
      <c r="G14" s="22">
        <v>12999000</v>
      </c>
      <c r="H14" s="23">
        <f t="shared" si="2"/>
        <v>52019200</v>
      </c>
      <c r="I14" s="24">
        <f t="shared" si="0"/>
        <v>3230515.5289875376</v>
      </c>
      <c r="J14" s="25">
        <f t="shared" si="1"/>
        <v>0.14094988004429135</v>
      </c>
      <c r="K14" s="23">
        <f t="shared" si="3"/>
        <v>48788684.471012466</v>
      </c>
      <c r="L14" s="42">
        <v>195394800</v>
      </c>
    </row>
    <row r="15" spans="1:12" ht="15.75" customHeight="1" x14ac:dyDescent="0.15">
      <c r="A15" s="3">
        <v>2030</v>
      </c>
      <c r="B15" s="21">
        <v>2703670</v>
      </c>
      <c r="C15" s="22">
        <v>14305800.000000007</v>
      </c>
      <c r="D15" s="22">
        <v>7292300.0000000009</v>
      </c>
      <c r="E15" s="22">
        <v>17008100</v>
      </c>
      <c r="F15" s="22">
        <v>14785700</v>
      </c>
      <c r="G15" s="22">
        <v>13276000</v>
      </c>
      <c r="H15" s="23">
        <f t="shared" si="2"/>
        <v>52362100</v>
      </c>
      <c r="I15" s="24">
        <f t="shared" si="0"/>
        <v>3188527.7298968509</v>
      </c>
      <c r="J15" s="25">
        <f t="shared" si="1"/>
        <v>0.139266759736527</v>
      </c>
      <c r="K15" s="23">
        <f t="shared" si="3"/>
        <v>49173572.270103149</v>
      </c>
      <c r="L15" s="42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7"/>
  <sheetViews>
    <sheetView workbookViewId="0">
      <selection activeCell="G5" sqref="G5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115</v>
      </c>
      <c r="E1" s="10" t="s">
        <v>116</v>
      </c>
      <c r="F1" s="10" t="s">
        <v>117</v>
      </c>
      <c r="G1" s="10" t="s">
        <v>118</v>
      </c>
      <c r="H1" s="56"/>
    </row>
    <row r="2" spans="1:8" x14ac:dyDescent="0.15">
      <c r="A2" s="4" t="s">
        <v>264</v>
      </c>
      <c r="B2" t="s">
        <v>88</v>
      </c>
      <c r="C2" s="4" t="s">
        <v>102</v>
      </c>
      <c r="D2" s="4">
        <v>1</v>
      </c>
      <c r="E2" s="4">
        <v>1</v>
      </c>
      <c r="F2" s="4">
        <v>1</v>
      </c>
      <c r="G2" s="4">
        <v>1</v>
      </c>
      <c r="H2" s="118"/>
    </row>
    <row r="3" spans="1:8" x14ac:dyDescent="0.15">
      <c r="C3" t="s">
        <v>63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265</v>
      </c>
      <c r="B4" t="s">
        <v>88</v>
      </c>
      <c r="C4" s="4" t="s">
        <v>102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63</v>
      </c>
      <c r="D5" s="12">
        <v>0.59</v>
      </c>
      <c r="E5" s="12">
        <v>0.59</v>
      </c>
      <c r="F5" s="12">
        <v>0.59</v>
      </c>
      <c r="G5" s="12">
        <v>0.59</v>
      </c>
      <c r="H5" s="118"/>
    </row>
    <row r="6" spans="1:8" x14ac:dyDescent="0.15">
      <c r="A6" s="4" t="s">
        <v>266</v>
      </c>
      <c r="B6" t="s">
        <v>88</v>
      </c>
      <c r="C6" s="4" t="s">
        <v>102</v>
      </c>
      <c r="D6" s="12">
        <v>1</v>
      </c>
      <c r="E6" s="12">
        <v>1</v>
      </c>
      <c r="F6" s="12">
        <v>1</v>
      </c>
      <c r="G6" s="12">
        <v>1</v>
      </c>
      <c r="H6" s="118"/>
    </row>
    <row r="7" spans="1:8" x14ac:dyDescent="0.15">
      <c r="A7" s="11"/>
      <c r="C7" t="s">
        <v>63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52" x14ac:dyDescent="0.15">
      <c r="A1" s="1" t="s">
        <v>203</v>
      </c>
      <c r="B1" s="119" t="s">
        <v>48</v>
      </c>
      <c r="C1" s="120" t="s">
        <v>234</v>
      </c>
      <c r="D1" s="120" t="s">
        <v>235</v>
      </c>
      <c r="E1" s="120" t="s">
        <v>236</v>
      </c>
      <c r="F1" s="1"/>
    </row>
    <row r="2" spans="1:6" x14ac:dyDescent="0.15">
      <c r="A2" t="s">
        <v>267</v>
      </c>
      <c r="B2" s="81" t="s">
        <v>51</v>
      </c>
      <c r="C2" s="121">
        <f>'Distribution births'!C2</f>
        <v>0.15</v>
      </c>
      <c r="D2" s="121">
        <f>'Distribution births'!C3</f>
        <v>0.03</v>
      </c>
      <c r="E2" s="121">
        <f>'Distribution births'!C4</f>
        <v>0</v>
      </c>
      <c r="F2" s="9"/>
    </row>
    <row r="3" spans="1:6" x14ac:dyDescent="0.15">
      <c r="B3" s="81" t="s">
        <v>49</v>
      </c>
      <c r="C3" s="121">
        <v>0.8</v>
      </c>
      <c r="D3" s="121">
        <v>0.8</v>
      </c>
      <c r="E3" s="121">
        <v>0.8</v>
      </c>
      <c r="F3" s="9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3"/>
  <sheetViews>
    <sheetView zoomScale="85" zoomScaleNormal="118" workbookViewId="0">
      <selection activeCell="B47" sqref="B47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ht="15.75" customHeight="1" x14ac:dyDescent="0.15">
      <c r="A2" s="10" t="s">
        <v>72</v>
      </c>
      <c r="B2" s="58" t="s">
        <v>53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140</v>
      </c>
      <c r="C3" s="3">
        <v>0</v>
      </c>
      <c r="D3" s="3">
        <v>0</v>
      </c>
      <c r="E3" s="3">
        <v>0.3</v>
      </c>
      <c r="F3" s="3">
        <v>0.3</v>
      </c>
      <c r="G3" s="3">
        <v>0.3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8" t="s">
        <v>54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127</v>
      </c>
      <c r="C6" s="3">
        <v>0</v>
      </c>
      <c r="D6" s="3">
        <v>0</v>
      </c>
      <c r="E6" s="27">
        <f>'Baseline year demographics'!C8</f>
        <v>0.36</v>
      </c>
      <c r="F6" s="27">
        <f>'Baseline year demographics'!C8</f>
        <v>0.36</v>
      </c>
      <c r="G6" s="27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75</v>
      </c>
      <c r="C7" s="3">
        <v>0</v>
      </c>
      <c r="D7" s="3">
        <v>0</v>
      </c>
      <c r="E7" s="27">
        <f>'Baseline year demographics'!C8*(1-'Baseline year demographics'!C9)</f>
        <v>0.32400000000000001</v>
      </c>
      <c r="F7" s="27">
        <f>'Baseline year demographics'!C8*(1-'Baseline year demographics'!C9)</f>
        <v>0.32400000000000001</v>
      </c>
      <c r="G7" s="27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136</v>
      </c>
      <c r="C8" s="3">
        <v>0</v>
      </c>
      <c r="D8" s="3">
        <v>0</v>
      </c>
      <c r="E8" s="27">
        <f>'Baseline year demographics'!C8*'Baseline year demographics'!C9</f>
        <v>3.5999999999999997E-2</v>
      </c>
      <c r="F8" s="27">
        <f>'Baseline year demographics'!C8*'Baseline year demographics'!C9</f>
        <v>3.5999999999999997E-2</v>
      </c>
      <c r="G8" s="27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74</v>
      </c>
      <c r="C9" s="3">
        <v>0</v>
      </c>
      <c r="D9" s="3">
        <v>0</v>
      </c>
      <c r="E9" s="27">
        <f>'Baseline year demographics'!C8*(1-'Baseline year demographics'!C9)</f>
        <v>0.32400000000000001</v>
      </c>
      <c r="F9" s="27">
        <f>'Baseline year demographics'!C8*(1-'Baseline year demographics'!C9)</f>
        <v>0.32400000000000001</v>
      </c>
      <c r="G9" s="27">
        <f>'Baseline year demographics'!C8*(1-'Baseline year demographics'!C9)</f>
        <v>0.32400000000000001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137</v>
      </c>
      <c r="C10" s="3">
        <v>0</v>
      </c>
      <c r="D10" s="3">
        <v>0</v>
      </c>
      <c r="E10" s="27">
        <f>'Baseline year demographics'!C8*'Baseline year demographics'!C9</f>
        <v>3.5999999999999997E-2</v>
      </c>
      <c r="F10" s="27">
        <f>'Baseline year demographics'!C8*'Baseline year demographics'!C9</f>
        <v>3.5999999999999997E-2</v>
      </c>
      <c r="G10" s="27">
        <f>'Baseline year demographics'!C8*'Baseline year demographics'!C9</f>
        <v>3.5999999999999997E-2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143</v>
      </c>
      <c r="C11" s="53">
        <v>0</v>
      </c>
      <c r="D11" s="69">
        <f>'Baseline year demographics'!$C8</f>
        <v>0.36</v>
      </c>
      <c r="E11" s="69">
        <f>'Baseline year demographics'!$C8</f>
        <v>0.36</v>
      </c>
      <c r="F11" s="69">
        <f>'Baseline year demographics'!$C8</f>
        <v>0.36</v>
      </c>
      <c r="G11" s="69">
        <f>'Baseline year demographics'!$C8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151</v>
      </c>
      <c r="C12" s="53">
        <v>0</v>
      </c>
      <c r="D12" s="53">
        <v>1</v>
      </c>
      <c r="E12" s="53">
        <v>1</v>
      </c>
      <c r="F12" s="53">
        <v>1</v>
      </c>
      <c r="G12" s="53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152</v>
      </c>
      <c r="C13" s="53">
        <v>0</v>
      </c>
      <c r="D13" s="53">
        <v>1</v>
      </c>
      <c r="E13" s="53">
        <v>1</v>
      </c>
      <c r="F13" s="53">
        <v>1</v>
      </c>
      <c r="G13" s="53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73</v>
      </c>
      <c r="B15" t="s">
        <v>55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7">
        <f>'Baseline year demographics'!$C$8</f>
        <v>0.36</v>
      </c>
      <c r="I15" s="27">
        <f>'Baseline year demographics'!$C$8</f>
        <v>0.36</v>
      </c>
      <c r="J15" s="27">
        <f>'Baseline year demographics'!$C$8</f>
        <v>0.36</v>
      </c>
      <c r="K15" s="27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1</v>
      </c>
      <c r="J16" s="3">
        <v>1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7">
        <f>'Baseline year demographics'!$C9</f>
        <v>0.1</v>
      </c>
      <c r="I17" s="27">
        <f>'Baseline year demographics'!$C9</f>
        <v>0.1</v>
      </c>
      <c r="J17" s="27">
        <f>'Baseline year demographics'!$C9</f>
        <v>0.1</v>
      </c>
      <c r="K17" s="27">
        <f>'Baseline year demographics'!$C9</f>
        <v>0.1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2">
        <v>1</v>
      </c>
      <c r="I18" s="32">
        <v>1</v>
      </c>
      <c r="J18" s="32">
        <v>1</v>
      </c>
      <c r="K18" s="32"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2">
        <f>'Baseline year demographics'!$C9</f>
        <v>0.1</v>
      </c>
      <c r="I19" s="32">
        <f>'Baseline year demographics'!$C9</f>
        <v>0.1</v>
      </c>
      <c r="J19" s="32">
        <f>'Baseline year demographics'!$C9</f>
        <v>0.1</v>
      </c>
      <c r="K19" s="32">
        <f>'Baseline year demographics'!$C9</f>
        <v>0.1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2">
        <f>'Baseline year demographics'!$C9</f>
        <v>0.1</v>
      </c>
      <c r="I20" s="32">
        <f>'Baseline year demographics'!$C9</f>
        <v>0.1</v>
      </c>
      <c r="J20" s="32">
        <f>'Baseline year demographics'!$C9</f>
        <v>0.1</v>
      </c>
      <c r="K20" s="32">
        <f>'Baseline year demographics'!$C9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84</v>
      </c>
      <c r="B22" t="s">
        <v>120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5">
        <v>0</v>
      </c>
      <c r="J22" s="45">
        <v>0</v>
      </c>
      <c r="K22" s="45">
        <v>0</v>
      </c>
      <c r="L22" s="27">
        <f>'Baseline year demographics'!$C$8*(1-'Baseline year demographics'!$C$9)*1*'Baseline year demographics'!$C$7</f>
        <v>0.114048</v>
      </c>
      <c r="M22" s="27">
        <v>0</v>
      </c>
      <c r="N22" s="27">
        <v>0</v>
      </c>
      <c r="O22" s="27">
        <v>0</v>
      </c>
    </row>
    <row r="23" spans="1:15" ht="15.75" customHeight="1" x14ac:dyDescent="0.15">
      <c r="B23" t="s">
        <v>121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5">
        <v>0</v>
      </c>
      <c r="J23" s="45">
        <v>0</v>
      </c>
      <c r="K23" s="45">
        <v>0</v>
      </c>
      <c r="L23" s="27">
        <f>'Baseline year demographics'!$C$8*(1-'Baseline year demographics'!$C$9)*(0.7)*'Baseline year demographics'!$C$7</f>
        <v>7.9833599999999991E-2</v>
      </c>
      <c r="M23" s="27">
        <f>'Baseline year demographics'!$C$8*(1-'Baseline year demographics'!$C$9)*(0.7)</f>
        <v>0.2268</v>
      </c>
      <c r="N23" s="27">
        <f>'Baseline year demographics'!$C$8*(1-'Baseline year demographics'!$C$9)*(0.7)</f>
        <v>0.2268</v>
      </c>
      <c r="O23" s="27">
        <f>'Baseline year demographics'!$C$8*(1-'Baseline year demographics'!$C$9)*(0.7)</f>
        <v>0.2268</v>
      </c>
    </row>
    <row r="24" spans="1:15" ht="15.75" customHeight="1" x14ac:dyDescent="0.15">
      <c r="B24" t="s">
        <v>122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5">
        <v>0</v>
      </c>
      <c r="J24" s="45">
        <v>0</v>
      </c>
      <c r="K24" s="45">
        <v>0</v>
      </c>
      <c r="L24" s="27">
        <f>'Baseline year demographics'!$C$8*(1-'Baseline year demographics'!$C$9)*(0.3)*'Baseline year demographics'!$C$7</f>
        <v>3.4214399999999999E-2</v>
      </c>
      <c r="M24" s="27">
        <f>'Baseline year demographics'!$C$8*(1-'Baseline year demographics'!$C$9)*(0.3)</f>
        <v>9.7199999999999995E-2</v>
      </c>
      <c r="N24" s="27">
        <f>'Baseline year demographics'!$C$8*(1-'Baseline year demographics'!$C$9)*(0.3)</f>
        <v>9.7199999999999995E-2</v>
      </c>
      <c r="O24" s="27">
        <f>'Baseline year demographics'!$C$8*(1-'Baseline year demographics'!$C$9)*(0.3)</f>
        <v>9.7199999999999995E-2</v>
      </c>
    </row>
    <row r="25" spans="1:15" ht="15.75" customHeight="1" x14ac:dyDescent="0.15">
      <c r="B25" t="s">
        <v>123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5">
        <v>0</v>
      </c>
      <c r="J25" s="45">
        <v>0</v>
      </c>
      <c r="K25" s="45">
        <v>0</v>
      </c>
      <c r="L25" s="27">
        <f>(1-'Baseline year demographics'!$C$8)*(1-'Baseline year demographics'!$C$9)*1*'Baseline year demographics'!$C$7</f>
        <v>0.20275200000000002</v>
      </c>
      <c r="M25" s="27">
        <v>0</v>
      </c>
      <c r="N25" s="27">
        <v>0</v>
      </c>
      <c r="O25" s="27">
        <v>0</v>
      </c>
    </row>
    <row r="26" spans="1:15" ht="15.75" customHeight="1" x14ac:dyDescent="0.15">
      <c r="B26" t="s">
        <v>124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5">
        <v>0</v>
      </c>
      <c r="J26" s="45">
        <v>0</v>
      </c>
      <c r="K26" s="45">
        <v>0</v>
      </c>
      <c r="L26" s="27">
        <f>(1-'Baseline year demographics'!$C$8)*(1-'Baseline year demographics'!$C$9)*(0.49)*'Baseline year demographics'!$C$7</f>
        <v>9.9348480000000017E-2</v>
      </c>
      <c r="M26" s="27">
        <f>(1-'Baseline year demographics'!$C$8)*(1-'Baseline year demographics'!$C$9)*(0.49)</f>
        <v>0.28224000000000005</v>
      </c>
      <c r="N26" s="27">
        <f>(1-'Baseline year demographics'!$C$8)*(1-'Baseline year demographics'!$C$9)*(0.49)</f>
        <v>0.28224000000000005</v>
      </c>
      <c r="O26" s="27">
        <f>(1-'Baseline year demographics'!$C$8)*(1-'Baseline year demographics'!$C$9)*(0.49)</f>
        <v>0.28224000000000005</v>
      </c>
    </row>
    <row r="27" spans="1:15" ht="15.75" customHeight="1" x14ac:dyDescent="0.15">
      <c r="B27" t="s">
        <v>125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5">
        <v>0</v>
      </c>
      <c r="J27" s="45">
        <v>0</v>
      </c>
      <c r="K27" s="45">
        <v>0</v>
      </c>
      <c r="L27" s="27">
        <f>(1-'Baseline year demographics'!$C$8)*(1-'Baseline year demographics'!$C$9)*(0.21)*'Baseline year demographics'!$C$7</f>
        <v>4.2577919999999998E-2</v>
      </c>
      <c r="M27" s="27">
        <f>(1-'Baseline year demographics'!$C$8)*(1-'Baseline year demographics'!$C$9)*(0.21)</f>
        <v>0.12096000000000001</v>
      </c>
      <c r="N27" s="27">
        <f>(1-'Baseline year demographics'!$C$8)*(1-'Baseline year demographics'!$C$9)*(0.21)</f>
        <v>0.12096000000000001</v>
      </c>
      <c r="O27" s="27">
        <f>(1-'Baseline year demographics'!$C$8)*(1-'Baseline year demographics'!$C$9)*(0.21)</f>
        <v>0.12096000000000001</v>
      </c>
    </row>
    <row r="28" spans="1:15" ht="15.75" customHeight="1" x14ac:dyDescent="0.15">
      <c r="B28" t="s">
        <v>126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5">
        <v>0</v>
      </c>
      <c r="J28" s="45">
        <v>0</v>
      </c>
      <c r="K28" s="45">
        <v>0</v>
      </c>
      <c r="L28" s="27">
        <f>(1-'Baseline year demographics'!$C$8)*(1-'Baseline year demographics'!$C$9)*(0.3)*'Baseline year demographics'!$C$7</f>
        <v>6.0825600000000001E-2</v>
      </c>
      <c r="M28" s="27">
        <f>(1-'Baseline year demographics'!$C$8)*(1-'Baseline year demographics'!$C$9)*(0.3)</f>
        <v>0.17280000000000001</v>
      </c>
      <c r="N28" s="27">
        <f>(1-'Baseline year demographics'!$C$8)*(1-'Baseline year demographics'!$C$9)*(0.3)</f>
        <v>0.17280000000000001</v>
      </c>
      <c r="O28" s="27">
        <f>(1-'Baseline year demographics'!$C$8)*(1-'Baseline year demographics'!$C$9)*(0.3)</f>
        <v>0.17280000000000001</v>
      </c>
    </row>
    <row r="29" spans="1:15" ht="15.75" customHeight="1" x14ac:dyDescent="0.15">
      <c r="A29" s="10"/>
      <c r="B29" t="s">
        <v>128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5">
        <v>0</v>
      </c>
      <c r="J29" s="45">
        <v>0</v>
      </c>
      <c r="K29" s="45">
        <v>0</v>
      </c>
      <c r="L29" s="27">
        <f>'Baseline year demographics'!$C$8*('Baseline year demographics'!$C$9)*1*'Baseline year demographics'!$C$7</f>
        <v>1.2671999999999998E-2</v>
      </c>
      <c r="M29" s="27">
        <v>0</v>
      </c>
      <c r="N29" s="27">
        <v>0</v>
      </c>
      <c r="O29" s="27">
        <v>0</v>
      </c>
    </row>
    <row r="30" spans="1:15" ht="15.75" customHeight="1" x14ac:dyDescent="0.15">
      <c r="B30" t="s">
        <v>129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5">
        <v>0</v>
      </c>
      <c r="J30" s="45">
        <v>0</v>
      </c>
      <c r="K30" s="45">
        <v>0</v>
      </c>
      <c r="L30" s="27">
        <f>'Baseline year demographics'!$C$8*('Baseline year demographics'!$C$9)*(0.7)*'Baseline year demographics'!$C$7</f>
        <v>8.8703999999999988E-3</v>
      </c>
      <c r="M30" s="27">
        <f>'Baseline year demographics'!$C$8*('Baseline year demographics'!$C$9)*(0.7)</f>
        <v>2.5199999999999997E-2</v>
      </c>
      <c r="N30" s="27">
        <f>'Baseline year demographics'!$C$8*('Baseline year demographics'!$C$9)*(0.7)</f>
        <v>2.5199999999999997E-2</v>
      </c>
      <c r="O30" s="27">
        <f>'Baseline year demographics'!$C$8*('Baseline year demographics'!$C$9)*(0.7)</f>
        <v>2.5199999999999997E-2</v>
      </c>
    </row>
    <row r="31" spans="1:15" ht="15.75" customHeight="1" x14ac:dyDescent="0.15">
      <c r="B31" t="s">
        <v>130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5">
        <v>0</v>
      </c>
      <c r="J31" s="45">
        <v>0</v>
      </c>
      <c r="K31" s="45">
        <v>0</v>
      </c>
      <c r="L31" s="27">
        <f>'Baseline year demographics'!$C$8*('Baseline year demographics'!$C$9)*(0.3)*'Baseline year demographics'!$C$7</f>
        <v>3.8015999999999992E-3</v>
      </c>
      <c r="M31" s="27">
        <f>'Baseline year demographics'!$C$8*(1-'Baseline year demographics'!$C$9)*(0.3)</f>
        <v>9.7199999999999995E-2</v>
      </c>
      <c r="N31" s="27">
        <f>'Baseline year demographics'!$C$8*(1-'Baseline year demographics'!$C$9)*(0.3)</f>
        <v>9.7199999999999995E-2</v>
      </c>
      <c r="O31" s="27">
        <f>'Baseline year demographics'!$C$8*(1-'Baseline year demographics'!$C$9)*(0.3)</f>
        <v>9.7199999999999995E-2</v>
      </c>
    </row>
    <row r="32" spans="1:15" ht="15.75" customHeight="1" x14ac:dyDescent="0.15">
      <c r="B32" t="s">
        <v>131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5">
        <v>0</v>
      </c>
      <c r="J32" s="45">
        <v>0</v>
      </c>
      <c r="K32" s="45">
        <v>0</v>
      </c>
      <c r="L32" s="27">
        <f>(1-'Baseline year demographics'!$C$8)*('Baseline year demographics'!$C$9)*1*'Baseline year demographics'!$C$7</f>
        <v>2.2527999999999999E-2</v>
      </c>
      <c r="M32" s="27">
        <v>0</v>
      </c>
      <c r="N32" s="27">
        <v>0</v>
      </c>
      <c r="O32" s="27">
        <v>0</v>
      </c>
    </row>
    <row r="33" spans="1:15" ht="15.75" customHeight="1" x14ac:dyDescent="0.15">
      <c r="B33" t="s">
        <v>132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5">
        <v>0</v>
      </c>
      <c r="J33" s="45">
        <v>0</v>
      </c>
      <c r="K33" s="45">
        <v>0</v>
      </c>
      <c r="L33" s="27">
        <f>(1-'Baseline year demographics'!$C$8)*('Baseline year demographics'!$C$9)*(0.49)*'Baseline year demographics'!$C$7</f>
        <v>1.1038719999999998E-2</v>
      </c>
      <c r="M33" s="27">
        <f>(1-'Baseline year demographics'!$C$8)*('Baseline year demographics'!$C$9)*(0.49)</f>
        <v>3.1359999999999999E-2</v>
      </c>
      <c r="N33" s="27">
        <f>(1-'Baseline year demographics'!$C$8)*('Baseline year demographics'!$C$9)*(0.49)</f>
        <v>3.1359999999999999E-2</v>
      </c>
      <c r="O33" s="27">
        <f>(1-'Baseline year demographics'!$C$8)*('Baseline year demographics'!$C$9)*(0.49)</f>
        <v>3.1359999999999999E-2</v>
      </c>
    </row>
    <row r="34" spans="1:15" ht="15.75" customHeight="1" x14ac:dyDescent="0.15">
      <c r="B34" t="s">
        <v>133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5">
        <v>0</v>
      </c>
      <c r="J34" s="45">
        <v>0</v>
      </c>
      <c r="K34" s="45">
        <v>0</v>
      </c>
      <c r="L34" s="27">
        <f>(1-'Baseline year demographics'!$C$8)*('Baseline year demographics'!$C$9)*(0.21)*'Baseline year demographics'!$C$7</f>
        <v>4.7308799999999998E-3</v>
      </c>
      <c r="M34" s="27">
        <f>(1-'Baseline year demographics'!$C$8)*('Baseline year demographics'!$C$9)*(0.21)</f>
        <v>1.3440000000000001E-2</v>
      </c>
      <c r="N34" s="27">
        <f>(1-'Baseline year demographics'!$C$8)*('Baseline year demographics'!$C$9)*(0.21)</f>
        <v>1.3440000000000001E-2</v>
      </c>
      <c r="O34" s="27">
        <f>(1-'Baseline year demographics'!$C$8)*('Baseline year demographics'!$C$9)*(0.21)</f>
        <v>1.3440000000000001E-2</v>
      </c>
    </row>
    <row r="35" spans="1:15" ht="15.75" customHeight="1" x14ac:dyDescent="0.15">
      <c r="B35" t="s">
        <v>134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5">
        <v>0</v>
      </c>
      <c r="J35" s="45">
        <v>0</v>
      </c>
      <c r="K35" s="45">
        <v>0</v>
      </c>
      <c r="L35" s="27">
        <f>(1-'Baseline year demographics'!$C$8)*('Baseline year demographics'!$C$9)*(0.3)*'Baseline year demographics'!$C$7</f>
        <v>6.7583999999999986E-3</v>
      </c>
      <c r="M35" s="27">
        <f>(1-'Baseline year demographics'!$C$8)*('Baseline year demographics'!$C$9)*(0.3)</f>
        <v>1.9199999999999998E-2</v>
      </c>
      <c r="N35" s="27">
        <f>(1-'Baseline year demographics'!$C$8)*('Baseline year demographics'!$C$9)*(0.3)</f>
        <v>1.9199999999999998E-2</v>
      </c>
      <c r="O35" s="27">
        <f>(1-'Baseline year demographics'!$C$8)*('Baseline year demographics'!$C$9)*(0.3)</f>
        <v>1.9199999999999998E-2</v>
      </c>
    </row>
    <row r="36" spans="1:15" ht="15.75" customHeight="1" x14ac:dyDescent="0.15">
      <c r="B36" t="s">
        <v>185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5">
        <v>0</v>
      </c>
      <c r="J36" s="45">
        <v>0</v>
      </c>
      <c r="K36" s="45">
        <v>0</v>
      </c>
      <c r="L36" s="125">
        <v>1</v>
      </c>
      <c r="M36" s="125">
        <v>1</v>
      </c>
      <c r="N36" s="125">
        <v>1</v>
      </c>
      <c r="O36" s="125">
        <v>1</v>
      </c>
    </row>
    <row r="37" spans="1:15" ht="15.75" customHeight="1" x14ac:dyDescent="0.15">
      <c r="B37" s="46" t="s">
        <v>267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5">
        <v>0</v>
      </c>
      <c r="J37" s="45">
        <v>0</v>
      </c>
      <c r="K37" s="45">
        <v>0</v>
      </c>
      <c r="L37" s="27">
        <f>'Baseline year demographics'!$C$29/SUM('Baseline year demographics'!$C$29:$C$32)</f>
        <v>0.5</v>
      </c>
      <c r="M37" s="27">
        <f>'Baseline year demographics'!$C$29/SUM('Baseline year demographics'!$C$29:$C$32)</f>
        <v>0.5</v>
      </c>
      <c r="N37" s="27">
        <f>'Baseline year demographics'!$C$29/SUM('Baseline year demographics'!$C$29:$C$32)</f>
        <v>0.5</v>
      </c>
      <c r="O37" s="27">
        <f>'Baseline year demographics'!$C$29/SUM('Baseline year demographics'!$C$29:$C$32)</f>
        <v>0.5</v>
      </c>
    </row>
    <row r="38" spans="1:15" ht="15.75" customHeight="1" x14ac:dyDescent="0.15">
      <c r="B38" s="4" t="s">
        <v>97</v>
      </c>
      <c r="C38" s="3">
        <v>0</v>
      </c>
      <c r="D38" s="3">
        <v>0</v>
      </c>
      <c r="E38" s="32">
        <v>1</v>
      </c>
      <c r="F38" s="32">
        <v>1</v>
      </c>
      <c r="G38" s="32">
        <v>1</v>
      </c>
      <c r="H38" s="3">
        <v>0</v>
      </c>
      <c r="I38" s="45">
        <v>0</v>
      </c>
      <c r="J38" s="45">
        <v>0</v>
      </c>
      <c r="K38" s="45">
        <v>0</v>
      </c>
      <c r="L38" s="32">
        <v>1</v>
      </c>
      <c r="M38" s="32">
        <v>1</v>
      </c>
      <c r="N38" s="32">
        <v>1</v>
      </c>
      <c r="O38" s="32">
        <v>1</v>
      </c>
    </row>
    <row r="39" spans="1:15" s="11" customFormat="1" ht="15.75" customHeight="1" x14ac:dyDescent="0.15">
      <c r="B39" s="12" t="s">
        <v>144</v>
      </c>
      <c r="C39" s="122">
        <v>0</v>
      </c>
      <c r="D39" s="122">
        <v>0</v>
      </c>
      <c r="E39" s="123">
        <f>'Baseline year demographics'!$C28</f>
        <v>0.12</v>
      </c>
      <c r="F39" s="123">
        <f>'Baseline year demographics'!$C28</f>
        <v>0.12</v>
      </c>
      <c r="G39" s="123">
        <f>'Baseline year demographics'!$C28</f>
        <v>0.12</v>
      </c>
      <c r="H39" s="122">
        <v>0</v>
      </c>
      <c r="I39" s="124">
        <v>0</v>
      </c>
      <c r="J39" s="124">
        <v>0</v>
      </c>
      <c r="K39" s="124">
        <v>0</v>
      </c>
      <c r="L39" s="123">
        <f>'Baseline year demographics'!$C28</f>
        <v>0.12</v>
      </c>
      <c r="M39" s="123">
        <f>'Baseline year demographics'!$C28</f>
        <v>0.12</v>
      </c>
      <c r="N39" s="123">
        <f>'Baseline year demographics'!$C28</f>
        <v>0.12</v>
      </c>
      <c r="O39" s="123">
        <f>'Baseline year demographics'!$C28</f>
        <v>0.12</v>
      </c>
    </row>
    <row r="40" spans="1:15" s="11" customFormat="1" ht="15.75" customHeight="1" x14ac:dyDescent="0.15">
      <c r="B40" s="12" t="s">
        <v>145</v>
      </c>
      <c r="C40" s="122">
        <v>0</v>
      </c>
      <c r="D40" s="122">
        <v>0</v>
      </c>
      <c r="E40" s="122">
        <f>'Baseline year demographics'!$C29</f>
        <v>0.05</v>
      </c>
      <c r="F40" s="122">
        <f>'Baseline year demographics'!$C29</f>
        <v>0.05</v>
      </c>
      <c r="G40" s="122">
        <f>'Baseline year demographics'!$C29</f>
        <v>0.05</v>
      </c>
      <c r="H40" s="122">
        <v>0</v>
      </c>
      <c r="I40" s="124">
        <v>0</v>
      </c>
      <c r="J40" s="124">
        <v>0</v>
      </c>
      <c r="K40" s="124">
        <v>0</v>
      </c>
      <c r="L40" s="122">
        <f>'Baseline year demographics'!$C29</f>
        <v>0.05</v>
      </c>
      <c r="M40" s="122">
        <f>'Baseline year demographics'!$C29</f>
        <v>0.05</v>
      </c>
      <c r="N40" s="122">
        <f>'Baseline year demographics'!$C29</f>
        <v>0.05</v>
      </c>
      <c r="O40" s="122">
        <f>'Baseline year demographics'!$C29</f>
        <v>0.05</v>
      </c>
    </row>
    <row r="41" spans="1:15" s="11" customFormat="1" ht="15.75" customHeight="1" x14ac:dyDescent="0.15">
      <c r="B41" s="12" t="s">
        <v>146</v>
      </c>
      <c r="C41" s="122">
        <v>0</v>
      </c>
      <c r="D41" s="122">
        <v>0</v>
      </c>
      <c r="E41" s="122">
        <f>'Baseline year demographics'!$C27</f>
        <v>0.8</v>
      </c>
      <c r="F41" s="122">
        <f>'Baseline year demographics'!$C27</f>
        <v>0.8</v>
      </c>
      <c r="G41" s="122">
        <f>'Baseline year demographics'!$C27</f>
        <v>0.8</v>
      </c>
      <c r="H41" s="122">
        <v>0</v>
      </c>
      <c r="I41" s="124">
        <v>0</v>
      </c>
      <c r="J41" s="124">
        <v>0</v>
      </c>
      <c r="K41" s="124">
        <v>0</v>
      </c>
      <c r="L41" s="122">
        <f>'Baseline year demographics'!$C27</f>
        <v>0.8</v>
      </c>
      <c r="M41" s="122">
        <f>'Baseline year demographics'!$C27</f>
        <v>0.8</v>
      </c>
      <c r="N41" s="122">
        <f>'Baseline year demographics'!$C27</f>
        <v>0.8</v>
      </c>
      <c r="O41" s="122">
        <f>'Baseline year demographics'!$C27</f>
        <v>0.8</v>
      </c>
    </row>
    <row r="42" spans="1:15" ht="15.75" customHeight="1" x14ac:dyDescent="0.15">
      <c r="B42" s="12"/>
      <c r="C42" s="3"/>
      <c r="D42" s="3"/>
      <c r="E42" s="117"/>
      <c r="F42" s="117"/>
      <c r="G42" s="117"/>
      <c r="H42" s="117"/>
      <c r="I42" s="117"/>
    </row>
    <row r="43" spans="1:15" ht="15.75" customHeight="1" x14ac:dyDescent="0.15">
      <c r="A43" s="10" t="s">
        <v>79</v>
      </c>
      <c r="B43" t="s">
        <v>257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258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259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L45" s="3">
        <v>1</v>
      </c>
      <c r="M45" s="3">
        <v>1</v>
      </c>
      <c r="N45" s="3">
        <v>1</v>
      </c>
      <c r="O45" s="3">
        <v>1</v>
      </c>
    </row>
    <row r="46" spans="1:15" ht="15.75" customHeight="1" x14ac:dyDescent="0.15">
      <c r="B46" t="s">
        <v>260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">
        <v>1</v>
      </c>
    </row>
    <row r="47" spans="1:15" ht="15.75" customHeight="1" x14ac:dyDescent="0.15">
      <c r="B47" t="s">
        <v>261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  <c r="M47" s="3">
        <v>1</v>
      </c>
      <c r="N47" s="3">
        <v>1</v>
      </c>
      <c r="O47" s="3">
        <v>1</v>
      </c>
    </row>
    <row r="48" spans="1:15" ht="15.75" customHeight="1" x14ac:dyDescent="0.15">
      <c r="B48" t="s">
        <v>262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t="s">
        <v>263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B50" s="4" t="s">
        <v>264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1</v>
      </c>
      <c r="I50" s="3">
        <v>1</v>
      </c>
      <c r="J50" s="3">
        <v>1</v>
      </c>
      <c r="K50" s="3">
        <v>1</v>
      </c>
      <c r="L50" s="3">
        <v>0</v>
      </c>
      <c r="M50" s="3">
        <v>0</v>
      </c>
      <c r="N50" s="3">
        <v>0</v>
      </c>
      <c r="O50" s="3">
        <v>0</v>
      </c>
    </row>
    <row r="51" spans="1:15" ht="15.75" customHeight="1" x14ac:dyDescent="0.15">
      <c r="B51" s="4" t="s">
        <v>265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1</v>
      </c>
      <c r="I51" s="3">
        <v>1</v>
      </c>
      <c r="J51" s="3">
        <v>1</v>
      </c>
      <c r="K51" s="3">
        <v>1</v>
      </c>
      <c r="L51" s="3">
        <v>0</v>
      </c>
      <c r="M51" s="3">
        <v>0</v>
      </c>
      <c r="N51" s="3">
        <v>0</v>
      </c>
      <c r="O51" s="3">
        <v>0</v>
      </c>
    </row>
    <row r="52" spans="1:15" ht="15.75" customHeight="1" x14ac:dyDescent="0.15">
      <c r="B52" s="4" t="s">
        <v>266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1</v>
      </c>
      <c r="I52" s="3">
        <v>1</v>
      </c>
      <c r="J52" s="3">
        <v>1</v>
      </c>
      <c r="K52" s="3">
        <v>1</v>
      </c>
      <c r="L52" s="3">
        <v>0</v>
      </c>
      <c r="M52" s="3">
        <v>0</v>
      </c>
      <c r="N52" s="3">
        <v>0</v>
      </c>
      <c r="O52" s="3">
        <v>0</v>
      </c>
    </row>
    <row r="53" spans="1:15" ht="15.75" customHeight="1" x14ac:dyDescent="0.15">
      <c r="A53" s="11"/>
      <c r="B53" s="12" t="s">
        <v>78</v>
      </c>
      <c r="C53" s="32">
        <f>'Baseline year demographics'!$C9</f>
        <v>0.1</v>
      </c>
      <c r="D53" s="32">
        <f>'Baseline year demographics'!$C9</f>
        <v>0.1</v>
      </c>
      <c r="E53" s="32">
        <f>'Baseline year demographics'!$C9</f>
        <v>0.1</v>
      </c>
      <c r="F53" s="32">
        <f>'Baseline year demographics'!$C9</f>
        <v>0.1</v>
      </c>
      <c r="G53" s="32">
        <f>'Baseline year demographics'!$C9</f>
        <v>0.1</v>
      </c>
      <c r="H53" s="32">
        <f>'Baseline year demographics'!$C9</f>
        <v>0.1</v>
      </c>
      <c r="I53" s="32">
        <f>'Baseline year demographics'!$C9</f>
        <v>0.1</v>
      </c>
      <c r="J53" s="32">
        <f>'Baseline year demographics'!$C9</f>
        <v>0.1</v>
      </c>
      <c r="K53" s="32">
        <f>'Baseline year demographics'!$C9</f>
        <v>0.1</v>
      </c>
      <c r="L53" s="32">
        <f>'Baseline year demographics'!$C9</f>
        <v>0.1</v>
      </c>
      <c r="M53" s="32">
        <f>'Baseline year demographics'!$C9</f>
        <v>0.1</v>
      </c>
      <c r="N53" s="32">
        <f>'Baseline year demographics'!$C9</f>
        <v>0.1</v>
      </c>
      <c r="O53" s="32">
        <f>'Baseline year demographics'!$C9</f>
        <v>0.1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3"/>
  <sheetViews>
    <sheetView workbookViewId="0">
      <selection activeCell="I58" sqref="I58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203</v>
      </c>
      <c r="B1" s="10" t="s">
        <v>225</v>
      </c>
      <c r="C1" s="10" t="s">
        <v>224</v>
      </c>
    </row>
    <row r="2" spans="1:3" x14ac:dyDescent="0.15">
      <c r="A2" t="s">
        <v>55</v>
      </c>
    </row>
    <row r="3" spans="1:3" x14ac:dyDescent="0.15">
      <c r="A3" s="4" t="s">
        <v>143</v>
      </c>
    </row>
    <row r="4" spans="1:3" ht="14" x14ac:dyDescent="0.15">
      <c r="A4" s="63" t="s">
        <v>185</v>
      </c>
    </row>
    <row r="5" spans="1:3" x14ac:dyDescent="0.15">
      <c r="A5" s="12" t="s">
        <v>145</v>
      </c>
    </row>
    <row r="6" spans="1:3" x14ac:dyDescent="0.15">
      <c r="A6" s="12" t="s">
        <v>146</v>
      </c>
    </row>
    <row r="7" spans="1:3" x14ac:dyDescent="0.15">
      <c r="A7" s="12" t="s">
        <v>144</v>
      </c>
    </row>
    <row r="8" spans="1:3" x14ac:dyDescent="0.15">
      <c r="A8" t="s">
        <v>124</v>
      </c>
    </row>
    <row r="9" spans="1:3" x14ac:dyDescent="0.15">
      <c r="A9" t="s">
        <v>132</v>
      </c>
      <c r="C9" s="4" t="s">
        <v>78</v>
      </c>
    </row>
    <row r="10" spans="1:3" x14ac:dyDescent="0.15">
      <c r="A10" t="s">
        <v>125</v>
      </c>
    </row>
    <row r="11" spans="1:3" x14ac:dyDescent="0.15">
      <c r="A11" t="s">
        <v>133</v>
      </c>
      <c r="C11" s="4" t="s">
        <v>78</v>
      </c>
    </row>
    <row r="12" spans="1:3" x14ac:dyDescent="0.15">
      <c r="A12" t="s">
        <v>126</v>
      </c>
    </row>
    <row r="13" spans="1:3" x14ac:dyDescent="0.15">
      <c r="A13" t="s">
        <v>134</v>
      </c>
      <c r="C13" s="4" t="s">
        <v>78</v>
      </c>
    </row>
    <row r="14" spans="1:3" x14ac:dyDescent="0.15">
      <c r="A14" t="s">
        <v>123</v>
      </c>
    </row>
    <row r="15" spans="1:3" x14ac:dyDescent="0.15">
      <c r="A15" t="s">
        <v>131</v>
      </c>
      <c r="C15" s="4" t="s">
        <v>78</v>
      </c>
    </row>
    <row r="16" spans="1:3" x14ac:dyDescent="0.15">
      <c r="A16" t="s">
        <v>121</v>
      </c>
    </row>
    <row r="17" spans="1:3" x14ac:dyDescent="0.15">
      <c r="A17" t="s">
        <v>129</v>
      </c>
      <c r="C17" s="4" t="s">
        <v>78</v>
      </c>
    </row>
    <row r="18" spans="1:3" x14ac:dyDescent="0.15">
      <c r="A18" t="s">
        <v>122</v>
      </c>
    </row>
    <row r="19" spans="1:3" x14ac:dyDescent="0.15">
      <c r="A19" t="s">
        <v>130</v>
      </c>
      <c r="C19" s="4" t="s">
        <v>78</v>
      </c>
    </row>
    <row r="20" spans="1:3" x14ac:dyDescent="0.15">
      <c r="A20" t="s">
        <v>120</v>
      </c>
    </row>
    <row r="21" spans="1:3" x14ac:dyDescent="0.15">
      <c r="A21" t="s">
        <v>128</v>
      </c>
      <c r="C21" s="4" t="s">
        <v>78</v>
      </c>
    </row>
    <row r="22" spans="1:3" x14ac:dyDescent="0.15">
      <c r="A22" t="s">
        <v>119</v>
      </c>
    </row>
    <row r="23" spans="1:3" x14ac:dyDescent="0.15">
      <c r="A23" s="4" t="s">
        <v>77</v>
      </c>
      <c r="B23" t="s">
        <v>135</v>
      </c>
    </row>
    <row r="24" spans="1:3" x14ac:dyDescent="0.15">
      <c r="A24" s="4" t="s">
        <v>139</v>
      </c>
      <c r="B24" t="s">
        <v>138</v>
      </c>
      <c r="C24" t="s">
        <v>119</v>
      </c>
    </row>
    <row r="25" spans="1:3" x14ac:dyDescent="0.15">
      <c r="A25" s="4" t="s">
        <v>97</v>
      </c>
    </row>
    <row r="26" spans="1:3" x14ac:dyDescent="0.15">
      <c r="A26" s="4" t="s">
        <v>81</v>
      </c>
      <c r="B26" s="12" t="s">
        <v>145</v>
      </c>
    </row>
    <row r="27" spans="1:3" x14ac:dyDescent="0.15">
      <c r="A27" s="4" t="s">
        <v>82</v>
      </c>
      <c r="B27" s="12" t="s">
        <v>146</v>
      </c>
    </row>
    <row r="28" spans="1:3" x14ac:dyDescent="0.15">
      <c r="A28" s="4" t="s">
        <v>80</v>
      </c>
      <c r="B28" s="12" t="s">
        <v>144</v>
      </c>
    </row>
    <row r="29" spans="1:3" x14ac:dyDescent="0.15">
      <c r="A29" s="4" t="s">
        <v>78</v>
      </c>
    </row>
    <row r="30" spans="1:3" x14ac:dyDescent="0.15">
      <c r="A30" t="s">
        <v>135</v>
      </c>
    </row>
    <row r="31" spans="1:3" x14ac:dyDescent="0.15">
      <c r="A31" t="s">
        <v>138</v>
      </c>
      <c r="C31" t="s">
        <v>119</v>
      </c>
    </row>
    <row r="32" spans="1:3" x14ac:dyDescent="0.15">
      <c r="A32" s="4" t="s">
        <v>127</v>
      </c>
      <c r="B32" t="s">
        <v>229</v>
      </c>
    </row>
    <row r="33" spans="1:3" x14ac:dyDescent="0.15">
      <c r="A33" s="4" t="s">
        <v>75</v>
      </c>
    </row>
    <row r="34" spans="1:3" x14ac:dyDescent="0.15">
      <c r="A34" s="4" t="s">
        <v>136</v>
      </c>
      <c r="C34" s="4" t="s">
        <v>78</v>
      </c>
    </row>
    <row r="35" spans="1:3" x14ac:dyDescent="0.15">
      <c r="A35" s="4" t="s">
        <v>74</v>
      </c>
      <c r="B35" t="s">
        <v>75</v>
      </c>
    </row>
    <row r="36" spans="1:3" x14ac:dyDescent="0.15">
      <c r="A36" s="30" t="s">
        <v>137</v>
      </c>
      <c r="B36" t="s">
        <v>136</v>
      </c>
      <c r="C36" s="4" t="s">
        <v>78</v>
      </c>
    </row>
    <row r="37" spans="1:3" x14ac:dyDescent="0.15">
      <c r="A37" s="4" t="s">
        <v>151</v>
      </c>
    </row>
    <row r="38" spans="1:3" x14ac:dyDescent="0.15">
      <c r="A38" s="4" t="s">
        <v>152</v>
      </c>
    </row>
    <row r="39" spans="1:3" x14ac:dyDescent="0.15">
      <c r="A39" s="4" t="s">
        <v>47</v>
      </c>
      <c r="B39" s="4" t="s">
        <v>74</v>
      </c>
    </row>
    <row r="40" spans="1:3" x14ac:dyDescent="0.15">
      <c r="A40" s="4" t="s">
        <v>140</v>
      </c>
      <c r="B40" s="4" t="s">
        <v>74</v>
      </c>
    </row>
    <row r="41" spans="1:3" x14ac:dyDescent="0.15">
      <c r="A41" s="4" t="s">
        <v>161</v>
      </c>
    </row>
    <row r="42" spans="1:3" x14ac:dyDescent="0.15">
      <c r="A42" s="4" t="s">
        <v>162</v>
      </c>
    </row>
    <row r="43" spans="1:3" x14ac:dyDescent="0.15">
      <c r="A43" s="4" t="s">
        <v>163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A58" sqref="A58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203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268</v>
      </c>
    </row>
    <row r="2" spans="1:11" x14ac:dyDescent="0.15">
      <c r="A2" t="s">
        <v>55</v>
      </c>
      <c r="I2" t="s">
        <v>165</v>
      </c>
    </row>
    <row r="3" spans="1:11" ht="14" x14ac:dyDescent="0.15">
      <c r="A3" s="72" t="s">
        <v>267</v>
      </c>
      <c r="K3" t="s">
        <v>165</v>
      </c>
    </row>
    <row r="4" spans="1:11" x14ac:dyDescent="0.15">
      <c r="A4" s="4" t="s">
        <v>264</v>
      </c>
      <c r="H4" t="s">
        <v>165</v>
      </c>
    </row>
    <row r="5" spans="1:11" x14ac:dyDescent="0.15">
      <c r="A5" s="4" t="s">
        <v>143</v>
      </c>
      <c r="D5" t="s">
        <v>165</v>
      </c>
    </row>
    <row r="6" spans="1:11" x14ac:dyDescent="0.15">
      <c r="A6" t="s">
        <v>185</v>
      </c>
      <c r="J6" t="s">
        <v>165</v>
      </c>
    </row>
    <row r="7" spans="1:11" x14ac:dyDescent="0.15">
      <c r="A7" s="4" t="s">
        <v>145</v>
      </c>
      <c r="C7" t="s">
        <v>165</v>
      </c>
      <c r="H7" t="s">
        <v>165</v>
      </c>
    </row>
    <row r="8" spans="1:11" x14ac:dyDescent="0.15">
      <c r="A8" s="4" t="s">
        <v>146</v>
      </c>
      <c r="C8" t="s">
        <v>165</v>
      </c>
      <c r="H8" t="s">
        <v>165</v>
      </c>
    </row>
    <row r="9" spans="1:11" x14ac:dyDescent="0.15">
      <c r="A9" s="4" t="s">
        <v>144</v>
      </c>
      <c r="C9" t="s">
        <v>165</v>
      </c>
      <c r="H9" t="s">
        <v>165</v>
      </c>
    </row>
    <row r="10" spans="1:11" x14ac:dyDescent="0.15">
      <c r="A10" t="s">
        <v>124</v>
      </c>
      <c r="C10" t="s">
        <v>165</v>
      </c>
    </row>
    <row r="11" spans="1:11" x14ac:dyDescent="0.15">
      <c r="A11" t="s">
        <v>132</v>
      </c>
      <c r="C11" t="s">
        <v>165</v>
      </c>
    </row>
    <row r="12" spans="1:11" x14ac:dyDescent="0.15">
      <c r="A12" t="s">
        <v>125</v>
      </c>
      <c r="C12" t="s">
        <v>165</v>
      </c>
    </row>
    <row r="13" spans="1:11" x14ac:dyDescent="0.15">
      <c r="A13" t="s">
        <v>133</v>
      </c>
      <c r="C13" t="s">
        <v>165</v>
      </c>
    </row>
    <row r="14" spans="1:11" x14ac:dyDescent="0.15">
      <c r="A14" t="s">
        <v>126</v>
      </c>
      <c r="C14" t="s">
        <v>165</v>
      </c>
    </row>
    <row r="15" spans="1:11" x14ac:dyDescent="0.15">
      <c r="A15" t="s">
        <v>134</v>
      </c>
      <c r="C15" t="s">
        <v>165</v>
      </c>
    </row>
    <row r="16" spans="1:11" x14ac:dyDescent="0.15">
      <c r="A16" t="s">
        <v>123</v>
      </c>
      <c r="C16" t="s">
        <v>165</v>
      </c>
    </row>
    <row r="17" spans="1:9" x14ac:dyDescent="0.15">
      <c r="A17" t="s">
        <v>131</v>
      </c>
      <c r="C17" t="s">
        <v>165</v>
      </c>
    </row>
    <row r="18" spans="1:9" x14ac:dyDescent="0.15">
      <c r="A18" t="s">
        <v>121</v>
      </c>
      <c r="C18" t="s">
        <v>165</v>
      </c>
    </row>
    <row r="19" spans="1:9" x14ac:dyDescent="0.15">
      <c r="A19" t="s">
        <v>129</v>
      </c>
      <c r="C19" t="s">
        <v>165</v>
      </c>
    </row>
    <row r="20" spans="1:9" x14ac:dyDescent="0.15">
      <c r="A20" t="s">
        <v>122</v>
      </c>
      <c r="C20" t="s">
        <v>165</v>
      </c>
    </row>
    <row r="21" spans="1:9" x14ac:dyDescent="0.15">
      <c r="A21" t="s">
        <v>130</v>
      </c>
      <c r="C21" t="s">
        <v>165</v>
      </c>
    </row>
    <row r="22" spans="1:9" x14ac:dyDescent="0.15">
      <c r="A22" t="s">
        <v>120</v>
      </c>
      <c r="C22" t="s">
        <v>165</v>
      </c>
    </row>
    <row r="23" spans="1:9" x14ac:dyDescent="0.15">
      <c r="A23" t="s">
        <v>128</v>
      </c>
      <c r="C23" t="s">
        <v>165</v>
      </c>
    </row>
    <row r="24" spans="1:9" x14ac:dyDescent="0.15">
      <c r="A24" t="s">
        <v>119</v>
      </c>
      <c r="I24" t="s">
        <v>165</v>
      </c>
    </row>
    <row r="25" spans="1:9" x14ac:dyDescent="0.15">
      <c r="A25" s="4" t="s">
        <v>77</v>
      </c>
      <c r="C25" t="s">
        <v>165</v>
      </c>
      <c r="I25" t="s">
        <v>165</v>
      </c>
    </row>
    <row r="26" spans="1:9" x14ac:dyDescent="0.15">
      <c r="A26" s="4" t="s">
        <v>139</v>
      </c>
      <c r="C26" t="s">
        <v>165</v>
      </c>
      <c r="I26" t="s">
        <v>165</v>
      </c>
    </row>
    <row r="27" spans="1:9" x14ac:dyDescent="0.15">
      <c r="A27" s="4" t="s">
        <v>97</v>
      </c>
      <c r="C27" t="s">
        <v>165</v>
      </c>
    </row>
    <row r="28" spans="1:9" x14ac:dyDescent="0.15">
      <c r="A28" s="4" t="s">
        <v>81</v>
      </c>
      <c r="C28" t="s">
        <v>165</v>
      </c>
    </row>
    <row r="29" spans="1:9" x14ac:dyDescent="0.15">
      <c r="A29" s="4" t="s">
        <v>82</v>
      </c>
      <c r="C29" t="s">
        <v>165</v>
      </c>
    </row>
    <row r="30" spans="1:9" x14ac:dyDescent="0.15">
      <c r="A30" s="4" t="s">
        <v>80</v>
      </c>
      <c r="C30" t="s">
        <v>165</v>
      </c>
    </row>
    <row r="31" spans="1:9" x14ac:dyDescent="0.15">
      <c r="A31" s="4" t="s">
        <v>78</v>
      </c>
      <c r="C31" t="s">
        <v>165</v>
      </c>
      <c r="I31" t="s">
        <v>165</v>
      </c>
    </row>
    <row r="32" spans="1:9" x14ac:dyDescent="0.15">
      <c r="A32" s="4" t="s">
        <v>266</v>
      </c>
      <c r="H32" t="s">
        <v>165</v>
      </c>
    </row>
    <row r="33" spans="1:9" x14ac:dyDescent="0.15">
      <c r="A33" s="4" t="s">
        <v>265</v>
      </c>
      <c r="H33" t="s">
        <v>165</v>
      </c>
    </row>
    <row r="34" spans="1:9" x14ac:dyDescent="0.15">
      <c r="A34" t="s">
        <v>135</v>
      </c>
      <c r="C34" t="s">
        <v>165</v>
      </c>
      <c r="I34" t="s">
        <v>165</v>
      </c>
    </row>
    <row r="35" spans="1:9" x14ac:dyDescent="0.15">
      <c r="A35" t="s">
        <v>138</v>
      </c>
      <c r="C35" t="s">
        <v>165</v>
      </c>
      <c r="I35" t="s">
        <v>165</v>
      </c>
    </row>
    <row r="36" spans="1:9" x14ac:dyDescent="0.15">
      <c r="A36" t="s">
        <v>262</v>
      </c>
      <c r="G36" t="s">
        <v>165</v>
      </c>
    </row>
    <row r="37" spans="1:9" x14ac:dyDescent="0.15">
      <c r="A37" s="4" t="s">
        <v>127</v>
      </c>
      <c r="B37" t="s">
        <v>165</v>
      </c>
      <c r="D37" t="s">
        <v>165</v>
      </c>
    </row>
    <row r="38" spans="1:9" x14ac:dyDescent="0.15">
      <c r="A38" s="4" t="s">
        <v>75</v>
      </c>
      <c r="B38" t="s">
        <v>165</v>
      </c>
      <c r="C38" t="s">
        <v>165</v>
      </c>
      <c r="D38" t="s">
        <v>165</v>
      </c>
    </row>
    <row r="39" spans="1:9" x14ac:dyDescent="0.15">
      <c r="A39" s="4" t="s">
        <v>136</v>
      </c>
      <c r="B39" t="s">
        <v>165</v>
      </c>
      <c r="C39" t="s">
        <v>165</v>
      </c>
      <c r="D39" t="s">
        <v>165</v>
      </c>
    </row>
    <row r="40" spans="1:9" x14ac:dyDescent="0.15">
      <c r="A40" s="4" t="s">
        <v>74</v>
      </c>
      <c r="C40" t="s">
        <v>165</v>
      </c>
    </row>
    <row r="41" spans="1:9" x14ac:dyDescent="0.15">
      <c r="A41" s="4" t="s">
        <v>137</v>
      </c>
      <c r="C41" t="s">
        <v>165</v>
      </c>
    </row>
    <row r="42" spans="1:9" x14ac:dyDescent="0.15">
      <c r="A42" s="4" t="s">
        <v>151</v>
      </c>
      <c r="E42" t="s">
        <v>165</v>
      </c>
    </row>
    <row r="43" spans="1:9" x14ac:dyDescent="0.15">
      <c r="A43" s="4" t="s">
        <v>152</v>
      </c>
      <c r="E43" t="s">
        <v>165</v>
      </c>
    </row>
    <row r="44" spans="1:9" x14ac:dyDescent="0.15">
      <c r="A44" s="4" t="s">
        <v>47</v>
      </c>
      <c r="G44" t="s">
        <v>165</v>
      </c>
    </row>
    <row r="45" spans="1:9" x14ac:dyDescent="0.15">
      <c r="A45" t="s">
        <v>261</v>
      </c>
      <c r="G45" t="s">
        <v>165</v>
      </c>
    </row>
    <row r="46" spans="1:9" x14ac:dyDescent="0.15">
      <c r="A46" t="s">
        <v>260</v>
      </c>
      <c r="G46" t="s">
        <v>165</v>
      </c>
    </row>
    <row r="47" spans="1:9" x14ac:dyDescent="0.15">
      <c r="A47" t="s">
        <v>259</v>
      </c>
      <c r="G47" t="s">
        <v>165</v>
      </c>
    </row>
    <row r="48" spans="1:9" x14ac:dyDescent="0.15">
      <c r="A48" t="s">
        <v>257</v>
      </c>
      <c r="G48" t="s">
        <v>165</v>
      </c>
    </row>
    <row r="49" spans="1:7" x14ac:dyDescent="0.15">
      <c r="A49" t="s">
        <v>258</v>
      </c>
      <c r="G49" t="s">
        <v>165</v>
      </c>
    </row>
    <row r="50" spans="1:7" x14ac:dyDescent="0.15">
      <c r="A50" t="s">
        <v>263</v>
      </c>
      <c r="G50" t="s">
        <v>165</v>
      </c>
    </row>
    <row r="51" spans="1:7" x14ac:dyDescent="0.15">
      <c r="A51" s="4" t="s">
        <v>140</v>
      </c>
    </row>
    <row r="52" spans="1:7" x14ac:dyDescent="0.15">
      <c r="A52" s="128" t="s">
        <v>161</v>
      </c>
      <c r="B52" t="s">
        <v>165</v>
      </c>
      <c r="F52" t="s">
        <v>165</v>
      </c>
    </row>
    <row r="53" spans="1:7" x14ac:dyDescent="0.15">
      <c r="A53" s="128" t="s">
        <v>162</v>
      </c>
      <c r="B53" t="s">
        <v>165</v>
      </c>
      <c r="F53" t="s">
        <v>165</v>
      </c>
    </row>
    <row r="54" spans="1:7" x14ac:dyDescent="0.15">
      <c r="A54" s="128" t="s">
        <v>163</v>
      </c>
      <c r="B54" t="s">
        <v>165</v>
      </c>
      <c r="F54" t="s">
        <v>165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K3" sqref="K3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268</v>
      </c>
    </row>
    <row r="2" spans="1:11" x14ac:dyDescent="0.15">
      <c r="A2" s="10" t="s">
        <v>6</v>
      </c>
      <c r="B2" t="s">
        <v>165</v>
      </c>
      <c r="C2" t="s">
        <v>165</v>
      </c>
      <c r="D2" t="s">
        <v>165</v>
      </c>
      <c r="E2" t="s">
        <v>165</v>
      </c>
      <c r="F2" t="s">
        <v>165</v>
      </c>
      <c r="G2" t="s">
        <v>165</v>
      </c>
      <c r="H2" t="s">
        <v>165</v>
      </c>
      <c r="J2" s="46" t="s">
        <v>165</v>
      </c>
    </row>
    <row r="3" spans="1:11" x14ac:dyDescent="0.15">
      <c r="A3" s="10" t="s">
        <v>7</v>
      </c>
      <c r="B3" t="s">
        <v>165</v>
      </c>
      <c r="C3" t="s">
        <v>165</v>
      </c>
      <c r="D3" t="s">
        <v>165</v>
      </c>
      <c r="E3" t="s">
        <v>165</v>
      </c>
      <c r="F3" t="s">
        <v>165</v>
      </c>
      <c r="G3" t="s">
        <v>165</v>
      </c>
      <c r="H3" t="s">
        <v>165</v>
      </c>
      <c r="J3" s="46" t="s">
        <v>165</v>
      </c>
    </row>
    <row r="4" spans="1:11" x14ac:dyDescent="0.15">
      <c r="A4" s="10" t="s">
        <v>8</v>
      </c>
      <c r="B4" t="s">
        <v>165</v>
      </c>
      <c r="C4" t="s">
        <v>165</v>
      </c>
      <c r="D4" t="s">
        <v>165</v>
      </c>
      <c r="E4" t="s">
        <v>165</v>
      </c>
      <c r="F4" t="s">
        <v>165</v>
      </c>
      <c r="G4" t="s">
        <v>165</v>
      </c>
      <c r="H4" t="s">
        <v>165</v>
      </c>
      <c r="J4" s="46" t="s">
        <v>165</v>
      </c>
    </row>
    <row r="5" spans="1:11" x14ac:dyDescent="0.15">
      <c r="A5" s="10" t="s">
        <v>9</v>
      </c>
      <c r="B5" t="s">
        <v>165</v>
      </c>
      <c r="C5" t="s">
        <v>165</v>
      </c>
      <c r="D5" t="s">
        <v>165</v>
      </c>
      <c r="E5" t="s">
        <v>165</v>
      </c>
      <c r="F5" t="s">
        <v>165</v>
      </c>
      <c r="G5" t="s">
        <v>165</v>
      </c>
      <c r="H5" t="s">
        <v>165</v>
      </c>
      <c r="J5" s="46" t="s">
        <v>165</v>
      </c>
    </row>
    <row r="6" spans="1:11" x14ac:dyDescent="0.15">
      <c r="A6" s="10" t="s">
        <v>10</v>
      </c>
      <c r="B6" t="s">
        <v>165</v>
      </c>
      <c r="C6" t="s">
        <v>165</v>
      </c>
      <c r="D6" t="s">
        <v>165</v>
      </c>
      <c r="E6" t="s">
        <v>165</v>
      </c>
      <c r="F6" t="s">
        <v>165</v>
      </c>
      <c r="G6" t="s">
        <v>165</v>
      </c>
      <c r="H6" t="s">
        <v>165</v>
      </c>
      <c r="J6" s="46" t="s">
        <v>165</v>
      </c>
    </row>
    <row r="7" spans="1:11" x14ac:dyDescent="0.15">
      <c r="A7" s="10" t="s">
        <v>115</v>
      </c>
      <c r="C7" t="s">
        <v>165</v>
      </c>
      <c r="I7" t="s">
        <v>165</v>
      </c>
      <c r="J7" s="46"/>
    </row>
    <row r="8" spans="1:11" x14ac:dyDescent="0.15">
      <c r="A8" s="10" t="s">
        <v>116</v>
      </c>
      <c r="C8" t="s">
        <v>165</v>
      </c>
      <c r="I8" t="s">
        <v>165</v>
      </c>
      <c r="J8" s="46"/>
    </row>
    <row r="9" spans="1:11" x14ac:dyDescent="0.15">
      <c r="A9" s="10" t="s">
        <v>117</v>
      </c>
      <c r="C9" t="s">
        <v>165</v>
      </c>
      <c r="I9" t="s">
        <v>165</v>
      </c>
      <c r="J9" s="46"/>
    </row>
    <row r="10" spans="1:11" x14ac:dyDescent="0.15">
      <c r="A10" s="10" t="s">
        <v>118</v>
      </c>
      <c r="C10" t="s">
        <v>165</v>
      </c>
      <c r="I10" t="s">
        <v>165</v>
      </c>
      <c r="J10" s="46"/>
    </row>
    <row r="11" spans="1:11" x14ac:dyDescent="0.15">
      <c r="A11" s="10" t="s">
        <v>111</v>
      </c>
      <c r="C11" t="s">
        <v>165</v>
      </c>
    </row>
    <row r="12" spans="1:11" x14ac:dyDescent="0.15">
      <c r="A12" s="10" t="s">
        <v>112</v>
      </c>
      <c r="C12" t="s">
        <v>165</v>
      </c>
    </row>
    <row r="13" spans="1:11" x14ac:dyDescent="0.15">
      <c r="A13" s="10" t="s">
        <v>113</v>
      </c>
      <c r="C13" t="s">
        <v>165</v>
      </c>
    </row>
    <row r="14" spans="1:11" x14ac:dyDescent="0.15">
      <c r="A14" s="10" t="s">
        <v>114</v>
      </c>
      <c r="C14" t="s">
        <v>165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2"/>
  <sheetViews>
    <sheetView workbookViewId="0">
      <selection activeCell="A45" sqref="A45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203</v>
      </c>
      <c r="B1" s="1" t="s">
        <v>212</v>
      </c>
      <c r="C1" s="1" t="s">
        <v>141</v>
      </c>
      <c r="D1" s="1" t="s">
        <v>142</v>
      </c>
    </row>
    <row r="2" spans="1:5" ht="15.75" customHeight="1" x14ac:dyDescent="0.15">
      <c r="A2" t="s">
        <v>55</v>
      </c>
      <c r="B2" s="14">
        <v>0</v>
      </c>
      <c r="C2" s="14">
        <v>0.85</v>
      </c>
      <c r="D2" s="14">
        <v>25</v>
      </c>
    </row>
    <row r="3" spans="1:5" ht="15.75" customHeight="1" x14ac:dyDescent="0.15">
      <c r="A3" s="126" t="s">
        <v>267</v>
      </c>
      <c r="B3" s="93">
        <v>0</v>
      </c>
      <c r="C3" s="14">
        <v>0.85</v>
      </c>
      <c r="D3" s="19">
        <v>0.8</v>
      </c>
      <c r="E3" s="72"/>
    </row>
    <row r="4" spans="1:5" ht="15.75" customHeight="1" x14ac:dyDescent="0.15">
      <c r="A4" s="4" t="s">
        <v>264</v>
      </c>
      <c r="B4" s="93">
        <v>0</v>
      </c>
      <c r="C4" s="14">
        <v>0.85</v>
      </c>
      <c r="D4" s="19">
        <v>1</v>
      </c>
      <c r="E4" s="4"/>
    </row>
    <row r="5" spans="1:5" ht="15.75" customHeight="1" x14ac:dyDescent="0.15">
      <c r="A5" s="4" t="s">
        <v>143</v>
      </c>
      <c r="B5" s="14">
        <v>0</v>
      </c>
      <c r="C5" s="13">
        <v>0.85</v>
      </c>
      <c r="D5" s="19">
        <f>180</f>
        <v>180</v>
      </c>
      <c r="E5" s="4"/>
    </row>
    <row r="6" spans="1:5" ht="15.75" customHeight="1" x14ac:dyDescent="0.15">
      <c r="A6" t="s">
        <v>185</v>
      </c>
      <c r="B6" s="93">
        <v>0.5</v>
      </c>
      <c r="C6" s="14">
        <v>0.85</v>
      </c>
      <c r="D6" s="19">
        <f>SUM('Programs family planning'!E2:E10)</f>
        <v>0.82100000000000006</v>
      </c>
      <c r="E6" s="63"/>
    </row>
    <row r="7" spans="1:5" ht="15.75" customHeight="1" x14ac:dyDescent="0.15">
      <c r="A7" s="12" t="s">
        <v>145</v>
      </c>
      <c r="B7" s="19">
        <v>0</v>
      </c>
      <c r="C7" s="14">
        <v>0.05</v>
      </c>
      <c r="D7" s="19">
        <v>0.14000000000000001</v>
      </c>
      <c r="E7" s="12"/>
    </row>
    <row r="8" spans="1:5" ht="15.75" customHeight="1" x14ac:dyDescent="0.15">
      <c r="A8" s="12" t="s">
        <v>146</v>
      </c>
      <c r="B8" s="19">
        <v>0</v>
      </c>
      <c r="C8" s="14">
        <v>0.8</v>
      </c>
      <c r="D8" s="19">
        <v>0.75</v>
      </c>
      <c r="E8" s="12"/>
    </row>
    <row r="9" spans="1:5" ht="15.75" customHeight="1" x14ac:dyDescent="0.15">
      <c r="A9" s="12" t="s">
        <v>144</v>
      </c>
      <c r="B9" s="19">
        <v>0</v>
      </c>
      <c r="C9" s="14">
        <v>0.12</v>
      </c>
      <c r="D9" s="19">
        <v>0.19</v>
      </c>
      <c r="E9" s="12"/>
    </row>
    <row r="10" spans="1:5" ht="15.75" customHeight="1" x14ac:dyDescent="0.15">
      <c r="A10" t="s">
        <v>124</v>
      </c>
      <c r="B10" s="19">
        <v>0</v>
      </c>
      <c r="C10" s="14">
        <v>0.85</v>
      </c>
      <c r="D10" s="14">
        <v>0.73</v>
      </c>
    </row>
    <row r="11" spans="1:5" ht="15.75" customHeight="1" x14ac:dyDescent="0.15">
      <c r="A11" t="s">
        <v>132</v>
      </c>
      <c r="B11" s="19">
        <v>0</v>
      </c>
      <c r="C11" s="14">
        <v>0.85</v>
      </c>
      <c r="D11" s="14">
        <v>0.73</v>
      </c>
    </row>
    <row r="12" spans="1:5" ht="15.75" customHeight="1" x14ac:dyDescent="0.15">
      <c r="A12" t="s">
        <v>125</v>
      </c>
      <c r="B12" s="19">
        <v>0</v>
      </c>
      <c r="C12" s="14">
        <v>0.85</v>
      </c>
      <c r="D12" s="14">
        <v>1.78</v>
      </c>
    </row>
    <row r="13" spans="1:5" ht="15.75" customHeight="1" x14ac:dyDescent="0.15">
      <c r="A13" t="s">
        <v>133</v>
      </c>
      <c r="B13" s="19">
        <v>0</v>
      </c>
      <c r="C13" s="14">
        <v>0.85</v>
      </c>
      <c r="D13" s="14">
        <v>1.78</v>
      </c>
    </row>
    <row r="14" spans="1:5" ht="15.75" customHeight="1" x14ac:dyDescent="0.15">
      <c r="A14" t="s">
        <v>126</v>
      </c>
      <c r="B14" s="19">
        <v>0</v>
      </c>
      <c r="C14" s="14">
        <v>0.85</v>
      </c>
      <c r="D14" s="14">
        <v>0.24</v>
      </c>
    </row>
    <row r="15" spans="1:5" ht="15.75" customHeight="1" x14ac:dyDescent="0.15">
      <c r="A15" t="s">
        <v>134</v>
      </c>
      <c r="B15" s="19">
        <v>0</v>
      </c>
      <c r="C15" s="14">
        <v>0.85</v>
      </c>
      <c r="D15" s="14">
        <v>0.24</v>
      </c>
    </row>
    <row r="16" spans="1:5" ht="15.75" customHeight="1" x14ac:dyDescent="0.15">
      <c r="A16" t="s">
        <v>123</v>
      </c>
      <c r="B16" s="19">
        <v>0</v>
      </c>
      <c r="C16" s="14">
        <v>0.85</v>
      </c>
      <c r="D16" s="14">
        <v>0.55000000000000004</v>
      </c>
    </row>
    <row r="17" spans="1:5" ht="15.75" customHeight="1" x14ac:dyDescent="0.15">
      <c r="A17" t="s">
        <v>131</v>
      </c>
      <c r="B17" s="19">
        <v>0</v>
      </c>
      <c r="C17" s="14">
        <v>0.85</v>
      </c>
      <c r="D17" s="14">
        <v>0.55000000000000004</v>
      </c>
    </row>
    <row r="18" spans="1:5" ht="15.75" customHeight="1" x14ac:dyDescent="0.15">
      <c r="A18" t="s">
        <v>121</v>
      </c>
      <c r="B18" s="19">
        <v>0</v>
      </c>
      <c r="C18" s="14">
        <v>0.85</v>
      </c>
      <c r="D18" s="14">
        <v>0.73</v>
      </c>
    </row>
    <row r="19" spans="1:5" ht="15.75" customHeight="1" x14ac:dyDescent="0.15">
      <c r="A19" t="s">
        <v>129</v>
      </c>
      <c r="B19" s="19">
        <v>0</v>
      </c>
      <c r="C19" s="14">
        <v>0.85</v>
      </c>
      <c r="D19" s="14">
        <v>0.73</v>
      </c>
    </row>
    <row r="20" spans="1:5" ht="15.75" customHeight="1" x14ac:dyDescent="0.15">
      <c r="A20" t="s">
        <v>122</v>
      </c>
      <c r="B20" s="19">
        <v>0</v>
      </c>
      <c r="C20" s="14">
        <v>0.85</v>
      </c>
      <c r="D20" s="14">
        <v>1.78</v>
      </c>
    </row>
    <row r="21" spans="1:5" ht="15.75" customHeight="1" x14ac:dyDescent="0.15">
      <c r="A21" t="s">
        <v>130</v>
      </c>
      <c r="B21" s="19">
        <v>0</v>
      </c>
      <c r="C21" s="14">
        <v>0.85</v>
      </c>
      <c r="D21" s="14">
        <v>1.78</v>
      </c>
    </row>
    <row r="22" spans="1:5" ht="15.75" customHeight="1" x14ac:dyDescent="0.15">
      <c r="A22" t="s">
        <v>120</v>
      </c>
      <c r="B22" s="19">
        <v>0</v>
      </c>
      <c r="C22" s="14">
        <v>0.85</v>
      </c>
      <c r="D22" s="14">
        <v>0.55000000000000004</v>
      </c>
    </row>
    <row r="23" spans="1:5" ht="15.75" customHeight="1" x14ac:dyDescent="0.15">
      <c r="A23" t="s">
        <v>128</v>
      </c>
      <c r="B23" s="19">
        <v>0</v>
      </c>
      <c r="C23" s="14">
        <v>0.85</v>
      </c>
      <c r="D23" s="14">
        <v>0.55000000000000004</v>
      </c>
    </row>
    <row r="24" spans="1:5" ht="15.75" customHeight="1" x14ac:dyDescent="0.15">
      <c r="A24" t="s">
        <v>119</v>
      </c>
      <c r="B24" s="19">
        <v>0</v>
      </c>
      <c r="C24" s="14">
        <v>0.85</v>
      </c>
      <c r="D24" s="14">
        <v>2.06</v>
      </c>
    </row>
    <row r="25" spans="1:5" ht="15.75" customHeight="1" x14ac:dyDescent="0.15">
      <c r="A25" s="4" t="s">
        <v>77</v>
      </c>
      <c r="B25" s="50">
        <v>0</v>
      </c>
      <c r="C25" s="50">
        <v>0.85</v>
      </c>
      <c r="D25" s="50">
        <v>1.78</v>
      </c>
      <c r="E25" s="4"/>
    </row>
    <row r="26" spans="1:5" ht="15.75" customHeight="1" x14ac:dyDescent="0.15">
      <c r="A26" s="4" t="s">
        <v>139</v>
      </c>
      <c r="B26" s="14">
        <v>0</v>
      </c>
      <c r="C26" s="14">
        <v>0.85</v>
      </c>
      <c r="D26" s="14">
        <v>1.78</v>
      </c>
      <c r="E26" s="4"/>
    </row>
    <row r="27" spans="1:5" ht="15.75" customHeight="1" x14ac:dyDescent="0.15">
      <c r="A27" s="4" t="s">
        <v>97</v>
      </c>
      <c r="B27" s="14">
        <v>0</v>
      </c>
      <c r="C27" s="13">
        <v>0.85</v>
      </c>
      <c r="D27" s="19">
        <v>0.25</v>
      </c>
      <c r="E27" s="4"/>
    </row>
    <row r="28" spans="1:5" ht="15.75" customHeight="1" x14ac:dyDescent="0.15">
      <c r="A28" s="4" t="s">
        <v>81</v>
      </c>
      <c r="B28" s="14">
        <v>0</v>
      </c>
      <c r="C28" s="14">
        <v>0.05</v>
      </c>
      <c r="D28" s="19">
        <v>0.13</v>
      </c>
      <c r="E28" s="4"/>
    </row>
    <row r="29" spans="1:5" ht="15.75" customHeight="1" x14ac:dyDescent="0.15">
      <c r="A29" s="4" t="s">
        <v>82</v>
      </c>
      <c r="B29" s="14">
        <v>0</v>
      </c>
      <c r="C29" s="14">
        <v>0.8</v>
      </c>
      <c r="D29" s="19">
        <v>0.74</v>
      </c>
      <c r="E29" s="4"/>
    </row>
    <row r="30" spans="1:5" ht="15.75" customHeight="1" x14ac:dyDescent="0.15">
      <c r="A30" s="4" t="s">
        <v>80</v>
      </c>
      <c r="B30" s="14">
        <v>0</v>
      </c>
      <c r="C30" s="14">
        <v>0.12</v>
      </c>
      <c r="D30" s="19">
        <v>0.18</v>
      </c>
      <c r="E30" s="4"/>
    </row>
    <row r="31" spans="1:5" ht="15.75" customHeight="1" x14ac:dyDescent="0.15">
      <c r="A31" s="4" t="s">
        <v>78</v>
      </c>
      <c r="B31" s="14">
        <v>0.2</v>
      </c>
      <c r="C31" s="14">
        <v>0.85</v>
      </c>
      <c r="D31" s="19">
        <v>2.61</v>
      </c>
    </row>
    <row r="32" spans="1:5" ht="15.75" customHeight="1" x14ac:dyDescent="0.15">
      <c r="A32" s="4" t="s">
        <v>266</v>
      </c>
      <c r="B32" s="93">
        <v>0</v>
      </c>
      <c r="C32" s="14">
        <v>0.85</v>
      </c>
      <c r="D32" s="31">
        <v>1</v>
      </c>
    </row>
    <row r="33" spans="1:5" ht="15.75" customHeight="1" x14ac:dyDescent="0.15">
      <c r="A33" s="4" t="s">
        <v>265</v>
      </c>
      <c r="B33" s="93">
        <v>0</v>
      </c>
      <c r="C33" s="14">
        <v>0.85</v>
      </c>
      <c r="D33" s="31">
        <v>1</v>
      </c>
    </row>
    <row r="34" spans="1:5" ht="15.75" customHeight="1" x14ac:dyDescent="0.15">
      <c r="A34" t="s">
        <v>135</v>
      </c>
      <c r="B34" s="50">
        <v>0</v>
      </c>
      <c r="C34" s="50">
        <v>0.85</v>
      </c>
      <c r="D34" s="50">
        <v>2.99</v>
      </c>
      <c r="E34" s="4"/>
    </row>
    <row r="35" spans="1:5" ht="15.75" customHeight="1" x14ac:dyDescent="0.15">
      <c r="A35" t="s">
        <v>138</v>
      </c>
      <c r="B35" s="14">
        <v>0</v>
      </c>
      <c r="C35" s="14">
        <v>0.85</v>
      </c>
      <c r="D35" s="14">
        <v>2.99</v>
      </c>
      <c r="E35" s="4"/>
    </row>
    <row r="36" spans="1:5" ht="15.75" customHeight="1" x14ac:dyDescent="0.15">
      <c r="A36" t="s">
        <v>262</v>
      </c>
      <c r="B36" s="93">
        <v>0</v>
      </c>
      <c r="C36" s="14">
        <v>0.85</v>
      </c>
      <c r="D36" s="19">
        <v>1</v>
      </c>
      <c r="E36" s="4"/>
    </row>
    <row r="37" spans="1:5" ht="15.75" customHeight="1" x14ac:dyDescent="0.15">
      <c r="A37" s="4" t="s">
        <v>127</v>
      </c>
      <c r="B37" s="14">
        <v>0</v>
      </c>
      <c r="C37" s="14">
        <v>0.85</v>
      </c>
      <c r="D37" s="14">
        <v>48</v>
      </c>
      <c r="E37" s="4"/>
    </row>
    <row r="38" spans="1:5" ht="15.75" customHeight="1" x14ac:dyDescent="0.15">
      <c r="A38" s="4" t="s">
        <v>75</v>
      </c>
      <c r="B38" s="49">
        <v>0</v>
      </c>
      <c r="C38" s="49">
        <v>0.85</v>
      </c>
      <c r="D38" s="94">
        <v>50</v>
      </c>
      <c r="E38" s="30"/>
    </row>
    <row r="39" spans="1:5" ht="15.75" customHeight="1" x14ac:dyDescent="0.15">
      <c r="A39" s="4" t="s">
        <v>136</v>
      </c>
      <c r="B39" s="31">
        <v>0</v>
      </c>
      <c r="C39" s="31">
        <v>0.85</v>
      </c>
      <c r="D39" s="19">
        <v>51</v>
      </c>
      <c r="E39" s="4"/>
    </row>
    <row r="40" spans="1:5" ht="15.75" customHeight="1" x14ac:dyDescent="0.15">
      <c r="A40" s="4" t="s">
        <v>74</v>
      </c>
      <c r="B40" s="49">
        <v>0</v>
      </c>
      <c r="C40" s="49">
        <v>0.85</v>
      </c>
      <c r="D40" s="94">
        <v>1</v>
      </c>
      <c r="E40" s="4"/>
    </row>
    <row r="41" spans="1:5" ht="15.75" customHeight="1" x14ac:dyDescent="0.15">
      <c r="A41" s="30" t="s">
        <v>137</v>
      </c>
      <c r="B41" s="31">
        <v>0</v>
      </c>
      <c r="C41" s="31">
        <v>0.85</v>
      </c>
      <c r="D41" s="19">
        <v>1</v>
      </c>
      <c r="E41" s="4"/>
    </row>
    <row r="42" spans="1:5" ht="15.75" customHeight="1" x14ac:dyDescent="0.15">
      <c r="A42" s="4" t="s">
        <v>151</v>
      </c>
      <c r="B42" s="14">
        <v>0</v>
      </c>
      <c r="C42" s="13">
        <v>0.85</v>
      </c>
      <c r="D42" s="19">
        <f>30*AVERAGE('Incidence of conditions'!B5:F5)</f>
        <v>0.10046400000000001</v>
      </c>
    </row>
    <row r="43" spans="1:5" ht="15.75" customHeight="1" x14ac:dyDescent="0.15">
      <c r="A43" s="4" t="s">
        <v>152</v>
      </c>
      <c r="B43" s="14">
        <v>0.61</v>
      </c>
      <c r="C43" s="13">
        <v>0.85</v>
      </c>
      <c r="D43" s="19">
        <f>179.97*AVERAGE('Incidence of conditions'!B6:F6)</f>
        <v>0.19933477199999997</v>
      </c>
    </row>
    <row r="44" spans="1:5" ht="15.75" customHeight="1" x14ac:dyDescent="0.15">
      <c r="A44" s="4" t="s">
        <v>47</v>
      </c>
      <c r="B44" s="14">
        <v>0.621</v>
      </c>
      <c r="C44" s="14">
        <v>0.85</v>
      </c>
      <c r="D44" s="14">
        <v>0.35</v>
      </c>
    </row>
    <row r="45" spans="1:5" ht="15.75" customHeight="1" x14ac:dyDescent="0.15">
      <c r="A45" t="s">
        <v>261</v>
      </c>
      <c r="B45" s="93">
        <v>0.4</v>
      </c>
      <c r="C45" s="13">
        <v>0.85</v>
      </c>
      <c r="D45" s="19">
        <v>1</v>
      </c>
    </row>
    <row r="46" spans="1:5" ht="15.75" customHeight="1" x14ac:dyDescent="0.15">
      <c r="A46" t="s">
        <v>260</v>
      </c>
      <c r="B46" s="93">
        <v>0.38700000000000001</v>
      </c>
      <c r="C46" s="13">
        <v>0.85</v>
      </c>
      <c r="D46" s="19">
        <v>2.8</v>
      </c>
    </row>
    <row r="47" spans="1:5" ht="15.75" customHeight="1" x14ac:dyDescent="0.15">
      <c r="A47" t="s">
        <v>259</v>
      </c>
      <c r="B47" s="93">
        <v>0.69</v>
      </c>
      <c r="C47" s="13">
        <v>0.85</v>
      </c>
      <c r="D47" s="19">
        <v>50.26</v>
      </c>
    </row>
    <row r="48" spans="1:5" ht="15.75" customHeight="1" x14ac:dyDescent="0.15">
      <c r="A48" t="s">
        <v>257</v>
      </c>
      <c r="B48" s="93">
        <v>0.84</v>
      </c>
      <c r="C48" s="13">
        <v>0.85</v>
      </c>
      <c r="D48" s="19">
        <v>36.1</v>
      </c>
    </row>
    <row r="49" spans="1:4" ht="15.75" customHeight="1" x14ac:dyDescent="0.15">
      <c r="A49" t="s">
        <v>258</v>
      </c>
      <c r="B49" s="93">
        <v>0.14000000000000001</v>
      </c>
      <c r="C49" s="13">
        <v>0.85</v>
      </c>
      <c r="D49" s="19">
        <v>231.85</v>
      </c>
    </row>
    <row r="50" spans="1:4" ht="15.75" customHeight="1" x14ac:dyDescent="0.15">
      <c r="A50" t="s">
        <v>263</v>
      </c>
      <c r="B50" s="93">
        <v>0</v>
      </c>
      <c r="C50" s="14">
        <v>0.85</v>
      </c>
      <c r="D50" s="19">
        <v>1.5</v>
      </c>
    </row>
    <row r="51" spans="1:4" ht="15.75" customHeight="1" x14ac:dyDescent="0.15">
      <c r="A51" s="4" t="s">
        <v>140</v>
      </c>
      <c r="B51" s="14">
        <v>0</v>
      </c>
      <c r="C51" s="14">
        <v>0.85</v>
      </c>
      <c r="D51" s="14">
        <v>1</v>
      </c>
    </row>
    <row r="52" spans="1:4" s="11" customFormat="1" ht="15.75" customHeight="1" x14ac:dyDescent="0.15">
      <c r="B52" s="73"/>
      <c r="C52" s="74"/>
      <c r="D52" s="75"/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abSelected="1" topLeftCell="A15" workbookViewId="0">
      <selection activeCell="B54" sqref="B54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203</v>
      </c>
      <c r="B1" s="10" t="s">
        <v>251</v>
      </c>
    </row>
    <row r="2" spans="1:2" x14ac:dyDescent="0.15">
      <c r="A2" t="s">
        <v>55</v>
      </c>
      <c r="B2" t="s">
        <v>165</v>
      </c>
    </row>
    <row r="3" spans="1:2" ht="14" x14ac:dyDescent="0.15">
      <c r="A3" s="72" t="s">
        <v>267</v>
      </c>
      <c r="B3" t="s">
        <v>165</v>
      </c>
    </row>
    <row r="4" spans="1:2" x14ac:dyDescent="0.15">
      <c r="A4" s="4" t="s">
        <v>264</v>
      </c>
      <c r="B4" t="s">
        <v>165</v>
      </c>
    </row>
    <row r="5" spans="1:2" x14ac:dyDescent="0.15">
      <c r="A5" s="4" t="s">
        <v>143</v>
      </c>
      <c r="B5" t="s">
        <v>165</v>
      </c>
    </row>
    <row r="6" spans="1:2" x14ac:dyDescent="0.15">
      <c r="A6" t="s">
        <v>185</v>
      </c>
      <c r="B6" t="s">
        <v>165</v>
      </c>
    </row>
    <row r="7" spans="1:2" x14ac:dyDescent="0.15">
      <c r="A7" s="12" t="s">
        <v>145</v>
      </c>
      <c r="B7" t="s">
        <v>165</v>
      </c>
    </row>
    <row r="8" spans="1:2" x14ac:dyDescent="0.15">
      <c r="A8" s="12" t="s">
        <v>146</v>
      </c>
      <c r="B8" t="s">
        <v>165</v>
      </c>
    </row>
    <row r="9" spans="1:2" x14ac:dyDescent="0.15">
      <c r="A9" s="12" t="s">
        <v>144</v>
      </c>
      <c r="B9" t="s">
        <v>165</v>
      </c>
    </row>
    <row r="10" spans="1:2" x14ac:dyDescent="0.15">
      <c r="A10" t="s">
        <v>124</v>
      </c>
      <c r="B10" t="s">
        <v>165</v>
      </c>
    </row>
    <row r="11" spans="1:2" x14ac:dyDescent="0.15">
      <c r="A11" t="s">
        <v>132</v>
      </c>
      <c r="B11" t="s">
        <v>165</v>
      </c>
    </row>
    <row r="12" spans="1:2" x14ac:dyDescent="0.15">
      <c r="A12" t="s">
        <v>125</v>
      </c>
      <c r="B12" t="s">
        <v>165</v>
      </c>
    </row>
    <row r="13" spans="1:2" x14ac:dyDescent="0.15">
      <c r="A13" t="s">
        <v>133</v>
      </c>
      <c r="B13" t="s">
        <v>165</v>
      </c>
    </row>
    <row r="14" spans="1:2" x14ac:dyDescent="0.15">
      <c r="A14" t="s">
        <v>126</v>
      </c>
      <c r="B14" t="s">
        <v>165</v>
      </c>
    </row>
    <row r="15" spans="1:2" x14ac:dyDescent="0.15">
      <c r="A15" t="s">
        <v>134</v>
      </c>
      <c r="B15" t="s">
        <v>165</v>
      </c>
    </row>
    <row r="16" spans="1:2" x14ac:dyDescent="0.15">
      <c r="A16" t="s">
        <v>123</v>
      </c>
      <c r="B16" t="s">
        <v>165</v>
      </c>
    </row>
    <row r="17" spans="1:2" x14ac:dyDescent="0.15">
      <c r="A17" t="s">
        <v>131</v>
      </c>
      <c r="B17" t="s">
        <v>165</v>
      </c>
    </row>
    <row r="18" spans="1:2" x14ac:dyDescent="0.15">
      <c r="A18" t="s">
        <v>121</v>
      </c>
      <c r="B18" t="s">
        <v>165</v>
      </c>
    </row>
    <row r="19" spans="1:2" x14ac:dyDescent="0.15">
      <c r="A19" t="s">
        <v>129</v>
      </c>
      <c r="B19" t="s">
        <v>165</v>
      </c>
    </row>
    <row r="20" spans="1:2" x14ac:dyDescent="0.15">
      <c r="A20" t="s">
        <v>122</v>
      </c>
      <c r="B20" t="s">
        <v>165</v>
      </c>
    </row>
    <row r="21" spans="1:2" x14ac:dyDescent="0.15">
      <c r="A21" t="s">
        <v>130</v>
      </c>
      <c r="B21" t="s">
        <v>165</v>
      </c>
    </row>
    <row r="22" spans="1:2" x14ac:dyDescent="0.15">
      <c r="A22" t="s">
        <v>120</v>
      </c>
      <c r="B22" t="s">
        <v>165</v>
      </c>
    </row>
    <row r="23" spans="1:2" x14ac:dyDescent="0.15">
      <c r="A23" t="s">
        <v>128</v>
      </c>
      <c r="B23" t="s">
        <v>165</v>
      </c>
    </row>
    <row r="24" spans="1:2" x14ac:dyDescent="0.15">
      <c r="A24" t="s">
        <v>119</v>
      </c>
      <c r="B24" t="s">
        <v>165</v>
      </c>
    </row>
    <row r="25" spans="1:2" x14ac:dyDescent="0.15">
      <c r="A25" s="4" t="s">
        <v>77</v>
      </c>
      <c r="B25" t="s">
        <v>165</v>
      </c>
    </row>
    <row r="26" spans="1:2" x14ac:dyDescent="0.15">
      <c r="A26" s="4" t="s">
        <v>139</v>
      </c>
      <c r="B26" t="s">
        <v>165</v>
      </c>
    </row>
    <row r="27" spans="1:2" x14ac:dyDescent="0.15">
      <c r="A27" s="4" t="s">
        <v>97</v>
      </c>
      <c r="B27" t="s">
        <v>165</v>
      </c>
    </row>
    <row r="28" spans="1:2" x14ac:dyDescent="0.15">
      <c r="A28" s="4" t="s">
        <v>81</v>
      </c>
    </row>
    <row r="29" spans="1:2" x14ac:dyDescent="0.15">
      <c r="A29" s="4" t="s">
        <v>82</v>
      </c>
    </row>
    <row r="30" spans="1:2" x14ac:dyDescent="0.15">
      <c r="A30" s="4" t="s">
        <v>80</v>
      </c>
    </row>
    <row r="31" spans="1:2" x14ac:dyDescent="0.15">
      <c r="A31" s="4" t="s">
        <v>78</v>
      </c>
      <c r="B31" t="s">
        <v>165</v>
      </c>
    </row>
    <row r="32" spans="1:2" x14ac:dyDescent="0.15">
      <c r="A32" s="4" t="s">
        <v>266</v>
      </c>
      <c r="B32" t="s">
        <v>165</v>
      </c>
    </row>
    <row r="33" spans="1:2" x14ac:dyDescent="0.15">
      <c r="A33" s="4" t="s">
        <v>265</v>
      </c>
      <c r="B33" t="s">
        <v>165</v>
      </c>
    </row>
    <row r="34" spans="1:2" x14ac:dyDescent="0.15">
      <c r="A34" t="s">
        <v>135</v>
      </c>
      <c r="B34" t="s">
        <v>165</v>
      </c>
    </row>
    <row r="35" spans="1:2" x14ac:dyDescent="0.15">
      <c r="A35" t="s">
        <v>138</v>
      </c>
      <c r="B35" t="s">
        <v>165</v>
      </c>
    </row>
    <row r="36" spans="1:2" x14ac:dyDescent="0.15">
      <c r="A36" t="s">
        <v>262</v>
      </c>
      <c r="B36" t="s">
        <v>165</v>
      </c>
    </row>
    <row r="37" spans="1:2" x14ac:dyDescent="0.15">
      <c r="A37" s="4" t="s">
        <v>127</v>
      </c>
      <c r="B37" t="s">
        <v>165</v>
      </c>
    </row>
    <row r="38" spans="1:2" x14ac:dyDescent="0.15">
      <c r="A38" s="4" t="s">
        <v>75</v>
      </c>
      <c r="B38" t="s">
        <v>165</v>
      </c>
    </row>
    <row r="39" spans="1:2" x14ac:dyDescent="0.15">
      <c r="A39" s="4" t="s">
        <v>136</v>
      </c>
      <c r="B39" t="s">
        <v>165</v>
      </c>
    </row>
    <row r="40" spans="1:2" x14ac:dyDescent="0.15">
      <c r="A40" s="4" t="s">
        <v>74</v>
      </c>
      <c r="B40" t="s">
        <v>165</v>
      </c>
    </row>
    <row r="41" spans="1:2" x14ac:dyDescent="0.15">
      <c r="A41" s="30" t="s">
        <v>137</v>
      </c>
      <c r="B41" t="s">
        <v>165</v>
      </c>
    </row>
    <row r="42" spans="1:2" x14ac:dyDescent="0.15">
      <c r="A42" s="4" t="s">
        <v>151</v>
      </c>
      <c r="B42" t="s">
        <v>165</v>
      </c>
    </row>
    <row r="43" spans="1:2" x14ac:dyDescent="0.15">
      <c r="A43" s="4" t="s">
        <v>152</v>
      </c>
      <c r="B43" t="s">
        <v>165</v>
      </c>
    </row>
    <row r="44" spans="1:2" x14ac:dyDescent="0.15">
      <c r="A44" s="4" t="s">
        <v>47</v>
      </c>
      <c r="B44" t="s">
        <v>165</v>
      </c>
    </row>
    <row r="45" spans="1:2" x14ac:dyDescent="0.15">
      <c r="A45" t="s">
        <v>261</v>
      </c>
      <c r="B45" t="s">
        <v>165</v>
      </c>
    </row>
    <row r="46" spans="1:2" x14ac:dyDescent="0.15">
      <c r="A46" t="s">
        <v>260</v>
      </c>
      <c r="B46" t="s">
        <v>165</v>
      </c>
    </row>
    <row r="47" spans="1:2" x14ac:dyDescent="0.15">
      <c r="A47" t="s">
        <v>259</v>
      </c>
      <c r="B47" t="s">
        <v>165</v>
      </c>
    </row>
    <row r="48" spans="1:2" x14ac:dyDescent="0.15">
      <c r="A48" t="s">
        <v>257</v>
      </c>
      <c r="B48" t="s">
        <v>165</v>
      </c>
    </row>
    <row r="49" spans="1:2" x14ac:dyDescent="0.15">
      <c r="A49" t="s">
        <v>258</v>
      </c>
      <c r="B49" t="s">
        <v>165</v>
      </c>
    </row>
    <row r="50" spans="1:2" x14ac:dyDescent="0.15">
      <c r="A50" t="s">
        <v>263</v>
      </c>
      <c r="B50" t="s">
        <v>165</v>
      </c>
    </row>
    <row r="51" spans="1:2" x14ac:dyDescent="0.15">
      <c r="A51" s="4" t="s">
        <v>140</v>
      </c>
      <c r="B51" t="s">
        <v>165</v>
      </c>
    </row>
    <row r="52" spans="1:2" x14ac:dyDescent="0.15">
      <c r="A52" s="128" t="s">
        <v>161</v>
      </c>
      <c r="B52" t="s">
        <v>165</v>
      </c>
    </row>
    <row r="53" spans="1:2" x14ac:dyDescent="0.15">
      <c r="A53" s="128" t="s">
        <v>162</v>
      </c>
      <c r="B53" t="s">
        <v>165</v>
      </c>
    </row>
    <row r="54" spans="1:2" x14ac:dyDescent="0.15">
      <c r="A54" s="128" t="s">
        <v>163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115</v>
      </c>
      <c r="H1" s="10" t="s">
        <v>116</v>
      </c>
      <c r="I1" s="10" t="s">
        <v>117</v>
      </c>
      <c r="J1" s="10" t="s">
        <v>118</v>
      </c>
    </row>
    <row r="2" spans="1:10" ht="15.75" customHeight="1" x14ac:dyDescent="0.15">
      <c r="A2" s="10" t="s">
        <v>217</v>
      </c>
      <c r="B2" s="87">
        <v>7.0000000000000001E-3</v>
      </c>
      <c r="C2" s="13">
        <v>0</v>
      </c>
      <c r="D2" s="13">
        <v>0</v>
      </c>
      <c r="E2" s="13">
        <v>0</v>
      </c>
      <c r="F2" s="13">
        <v>0</v>
      </c>
      <c r="G2" s="31">
        <v>0</v>
      </c>
      <c r="H2" s="31">
        <v>0</v>
      </c>
      <c r="I2" s="31">
        <v>0</v>
      </c>
      <c r="J2" s="31">
        <v>0</v>
      </c>
    </row>
    <row r="3" spans="1:10" ht="15.75" customHeight="1" x14ac:dyDescent="0.15">
      <c r="A3" s="10" t="s">
        <v>15</v>
      </c>
      <c r="B3" s="87">
        <v>0.19900000000000001</v>
      </c>
      <c r="C3" s="13">
        <v>0</v>
      </c>
      <c r="D3" s="13">
        <v>0</v>
      </c>
      <c r="E3" s="13">
        <v>0</v>
      </c>
      <c r="F3" s="13">
        <v>0</v>
      </c>
      <c r="G3" s="31">
        <v>0</v>
      </c>
      <c r="H3" s="31">
        <v>0</v>
      </c>
      <c r="I3" s="31">
        <v>0</v>
      </c>
      <c r="J3" s="31">
        <v>0</v>
      </c>
    </row>
    <row r="4" spans="1:10" ht="15.75" customHeight="1" x14ac:dyDescent="0.15">
      <c r="A4" s="10" t="s">
        <v>16</v>
      </c>
      <c r="B4" s="87">
        <v>5.8999999999999997E-2</v>
      </c>
      <c r="C4" s="13">
        <v>0</v>
      </c>
      <c r="D4" s="13">
        <v>0</v>
      </c>
      <c r="E4" s="13">
        <v>0</v>
      </c>
      <c r="F4" s="13">
        <v>0</v>
      </c>
      <c r="G4" s="31">
        <v>0</v>
      </c>
      <c r="H4" s="31">
        <v>0</v>
      </c>
      <c r="I4" s="31">
        <v>0</v>
      </c>
      <c r="J4" s="31">
        <v>0</v>
      </c>
    </row>
    <row r="5" spans="1:10" ht="15.75" customHeight="1" x14ac:dyDescent="0.15">
      <c r="A5" s="10" t="s">
        <v>18</v>
      </c>
      <c r="B5" s="87">
        <v>0.22900000000000001</v>
      </c>
      <c r="C5" s="13">
        <v>0</v>
      </c>
      <c r="D5" s="13">
        <v>0</v>
      </c>
      <c r="E5" s="13">
        <v>0</v>
      </c>
      <c r="F5" s="13">
        <v>0</v>
      </c>
      <c r="G5" s="31">
        <v>0</v>
      </c>
      <c r="H5" s="31">
        <v>0</v>
      </c>
      <c r="I5" s="31">
        <v>0</v>
      </c>
      <c r="J5" s="31">
        <v>0</v>
      </c>
    </row>
    <row r="6" spans="1:10" ht="15.75" customHeight="1" x14ac:dyDescent="0.15">
      <c r="A6" s="10" t="s">
        <v>21</v>
      </c>
      <c r="B6" s="87">
        <v>0.29699999999999999</v>
      </c>
      <c r="C6" s="13">
        <v>0</v>
      </c>
      <c r="D6" s="13">
        <v>0</v>
      </c>
      <c r="E6" s="13">
        <v>0</v>
      </c>
      <c r="F6" s="13">
        <v>0</v>
      </c>
      <c r="G6" s="31">
        <v>0</v>
      </c>
      <c r="H6" s="31">
        <v>0</v>
      </c>
      <c r="I6" s="31">
        <v>0</v>
      </c>
      <c r="J6" s="31">
        <v>0</v>
      </c>
    </row>
    <row r="7" spans="1:10" ht="15.75" customHeight="1" x14ac:dyDescent="0.15">
      <c r="A7" s="10" t="s">
        <v>22</v>
      </c>
      <c r="B7" s="87">
        <v>6.0000000000000001E-3</v>
      </c>
      <c r="C7" s="13">
        <v>0</v>
      </c>
      <c r="D7" s="13">
        <v>0</v>
      </c>
      <c r="E7" s="13">
        <v>0</v>
      </c>
      <c r="F7" s="13">
        <v>0</v>
      </c>
      <c r="G7" s="31">
        <v>0</v>
      </c>
      <c r="H7" s="31">
        <v>0</v>
      </c>
      <c r="I7" s="31">
        <v>0</v>
      </c>
      <c r="J7" s="31">
        <v>0</v>
      </c>
    </row>
    <row r="8" spans="1:10" ht="15.75" customHeight="1" x14ac:dyDescent="0.15">
      <c r="A8" s="10" t="s">
        <v>43</v>
      </c>
      <c r="B8" s="87">
        <v>0.127</v>
      </c>
      <c r="C8" s="13">
        <v>0</v>
      </c>
      <c r="D8" s="13">
        <v>0</v>
      </c>
      <c r="E8" s="13">
        <v>0</v>
      </c>
      <c r="F8" s="13">
        <v>0</v>
      </c>
      <c r="G8" s="31">
        <v>0</v>
      </c>
      <c r="H8" s="31">
        <v>0</v>
      </c>
      <c r="I8" s="31">
        <v>0</v>
      </c>
      <c r="J8" s="31">
        <v>0</v>
      </c>
    </row>
    <row r="9" spans="1:10" ht="15.75" customHeight="1" x14ac:dyDescent="0.15">
      <c r="A9" s="10" t="s">
        <v>24</v>
      </c>
      <c r="B9" s="87">
        <v>7.5999999999999998E-2</v>
      </c>
      <c r="C9" s="13">
        <v>0</v>
      </c>
      <c r="D9" s="13">
        <v>0</v>
      </c>
      <c r="E9" s="13">
        <v>0</v>
      </c>
      <c r="F9" s="13">
        <v>0</v>
      </c>
      <c r="G9" s="31">
        <v>0</v>
      </c>
      <c r="H9" s="31">
        <v>0</v>
      </c>
      <c r="I9" s="31">
        <v>0</v>
      </c>
      <c r="J9" s="31">
        <v>0</v>
      </c>
    </row>
    <row r="10" spans="1:10" ht="15.75" customHeight="1" x14ac:dyDescent="0.15">
      <c r="A10" s="10" t="s">
        <v>213</v>
      </c>
      <c r="B10" s="87">
        <v>0</v>
      </c>
      <c r="C10" s="87">
        <f>14.81% * 0.2</f>
        <v>2.9620000000000004E-2</v>
      </c>
      <c r="D10" s="87">
        <v>0.14810000000000001</v>
      </c>
      <c r="E10" s="87">
        <v>0.14810000000000001</v>
      </c>
      <c r="F10" s="87">
        <v>0.14810000000000001</v>
      </c>
      <c r="G10" s="31">
        <v>0</v>
      </c>
      <c r="H10" s="31">
        <v>0</v>
      </c>
      <c r="I10" s="31">
        <v>0</v>
      </c>
      <c r="J10" s="31">
        <v>0</v>
      </c>
    </row>
    <row r="11" spans="1:10" ht="15.75" customHeight="1" x14ac:dyDescent="0.15">
      <c r="A11" s="10" t="s">
        <v>216</v>
      </c>
      <c r="B11" s="87">
        <v>0</v>
      </c>
      <c r="C11" s="87">
        <v>0</v>
      </c>
      <c r="D11" s="87">
        <v>0</v>
      </c>
      <c r="E11" s="87">
        <v>0</v>
      </c>
      <c r="F11" s="87">
        <v>0</v>
      </c>
      <c r="G11" s="31">
        <v>0</v>
      </c>
      <c r="H11" s="31">
        <v>0</v>
      </c>
      <c r="I11" s="31">
        <v>0</v>
      </c>
      <c r="J11" s="31">
        <v>0</v>
      </c>
    </row>
    <row r="12" spans="1:10" ht="15.75" customHeight="1" x14ac:dyDescent="0.15">
      <c r="A12" s="10" t="s">
        <v>28</v>
      </c>
      <c r="B12" s="87">
        <v>0</v>
      </c>
      <c r="C12" s="87">
        <v>0.2883</v>
      </c>
      <c r="D12" s="87">
        <v>0.2883</v>
      </c>
      <c r="E12" s="87">
        <v>0.2883</v>
      </c>
      <c r="F12" s="87">
        <v>0.2883</v>
      </c>
      <c r="G12" s="31">
        <v>0</v>
      </c>
      <c r="H12" s="31">
        <v>0</v>
      </c>
      <c r="I12" s="31">
        <v>0</v>
      </c>
      <c r="J12" s="31">
        <v>0</v>
      </c>
    </row>
    <row r="13" spans="1:10" ht="15.75" customHeight="1" x14ac:dyDescent="0.15">
      <c r="A13" s="10" t="s">
        <v>29</v>
      </c>
      <c r="B13" s="87">
        <v>0</v>
      </c>
      <c r="C13" s="87">
        <v>4.1000000000000002E-2</v>
      </c>
      <c r="D13" s="87">
        <v>4.1000000000000002E-2</v>
      </c>
      <c r="E13" s="87">
        <v>4.1000000000000002E-2</v>
      </c>
      <c r="F13" s="87">
        <v>4.1000000000000002E-2</v>
      </c>
      <c r="G13" s="31">
        <v>0</v>
      </c>
      <c r="H13" s="31">
        <v>0</v>
      </c>
      <c r="I13" s="31">
        <v>0</v>
      </c>
      <c r="J13" s="31">
        <v>0</v>
      </c>
    </row>
    <row r="14" spans="1:10" ht="15.75" customHeight="1" x14ac:dyDescent="0.15">
      <c r="A14" s="10" t="s">
        <v>30</v>
      </c>
      <c r="B14" s="13">
        <v>0</v>
      </c>
      <c r="C14" s="87">
        <v>5.0099999999999999E-2</v>
      </c>
      <c r="D14" s="87">
        <v>5.0099999999999999E-2</v>
      </c>
      <c r="E14" s="87">
        <v>5.0099999999999999E-2</v>
      </c>
      <c r="F14" s="87">
        <v>5.0099999999999999E-2</v>
      </c>
      <c r="G14" s="31">
        <v>0</v>
      </c>
      <c r="H14" s="31">
        <v>0</v>
      </c>
      <c r="I14" s="31">
        <v>0</v>
      </c>
      <c r="J14" s="31">
        <v>0</v>
      </c>
    </row>
    <row r="15" spans="1:10" ht="15.75" customHeight="1" x14ac:dyDescent="0.15">
      <c r="A15" s="10" t="s">
        <v>31</v>
      </c>
      <c r="B15" s="13">
        <v>0</v>
      </c>
      <c r="C15" s="87">
        <v>6.0000000000000001E-3</v>
      </c>
      <c r="D15" s="87">
        <v>6.0000000000000001E-3</v>
      </c>
      <c r="E15" s="87">
        <v>6.0000000000000001E-3</v>
      </c>
      <c r="F15" s="87">
        <v>6.0000000000000001E-3</v>
      </c>
      <c r="G15" s="31">
        <v>0</v>
      </c>
      <c r="H15" s="31">
        <v>0</v>
      </c>
      <c r="I15" s="31">
        <v>0</v>
      </c>
      <c r="J15" s="31">
        <v>0</v>
      </c>
    </row>
    <row r="16" spans="1:10" ht="15.75" customHeight="1" x14ac:dyDescent="0.15">
      <c r="A16" s="10" t="s">
        <v>32</v>
      </c>
      <c r="B16" s="13">
        <v>0</v>
      </c>
      <c r="C16" s="87">
        <v>0.01</v>
      </c>
      <c r="D16" s="87">
        <v>0.01</v>
      </c>
      <c r="E16" s="87">
        <v>0.01</v>
      </c>
      <c r="F16" s="87">
        <v>0.01</v>
      </c>
      <c r="G16" s="31">
        <v>0</v>
      </c>
      <c r="H16" s="31">
        <v>0</v>
      </c>
      <c r="I16" s="31">
        <v>0</v>
      </c>
      <c r="J16" s="31">
        <v>0</v>
      </c>
    </row>
    <row r="17" spans="1:10" ht="15.75" customHeight="1" x14ac:dyDescent="0.15">
      <c r="A17" s="10" t="s">
        <v>33</v>
      </c>
      <c r="B17" s="13">
        <v>0</v>
      </c>
      <c r="C17" s="87">
        <v>0</v>
      </c>
      <c r="D17" s="87">
        <v>0</v>
      </c>
      <c r="E17" s="87">
        <v>0</v>
      </c>
      <c r="F17" s="87">
        <v>0</v>
      </c>
      <c r="G17" s="31">
        <v>0</v>
      </c>
      <c r="H17" s="31">
        <v>0</v>
      </c>
      <c r="I17" s="31">
        <v>0</v>
      </c>
      <c r="J17" s="31">
        <v>0</v>
      </c>
    </row>
    <row r="18" spans="1:10" ht="15.75" customHeight="1" x14ac:dyDescent="0.15">
      <c r="A18" s="10" t="s">
        <v>34</v>
      </c>
      <c r="B18" s="13">
        <v>0</v>
      </c>
      <c r="C18" s="87">
        <v>0.14510000000000001</v>
      </c>
      <c r="D18" s="87">
        <v>0.14510000000000001</v>
      </c>
      <c r="E18" s="87">
        <v>0.14510000000000001</v>
      </c>
      <c r="F18" s="87">
        <v>0.14510000000000001</v>
      </c>
      <c r="G18" s="31">
        <v>0</v>
      </c>
      <c r="H18" s="31">
        <v>0</v>
      </c>
      <c r="I18" s="31">
        <v>0</v>
      </c>
      <c r="J18" s="31">
        <v>0</v>
      </c>
    </row>
    <row r="19" spans="1:10" ht="15.75" customHeight="1" x14ac:dyDescent="0.15">
      <c r="A19" s="10" t="s">
        <v>35</v>
      </c>
      <c r="B19" s="13">
        <v>0</v>
      </c>
      <c r="C19" s="87">
        <v>0.31130000000000002</v>
      </c>
      <c r="D19" s="87">
        <v>0.31130000000000002</v>
      </c>
      <c r="E19" s="87">
        <v>0.31130000000000002</v>
      </c>
      <c r="F19" s="87">
        <v>0.31130000000000002</v>
      </c>
      <c r="G19" s="31">
        <v>0</v>
      </c>
      <c r="H19" s="31">
        <v>0</v>
      </c>
      <c r="I19" s="31">
        <v>0</v>
      </c>
      <c r="J19" s="31">
        <v>0</v>
      </c>
    </row>
    <row r="20" spans="1:10" ht="15.75" customHeight="1" x14ac:dyDescent="0.15">
      <c r="A20" s="10" t="s">
        <v>85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88">
        <v>2.5899999999999999E-2</v>
      </c>
      <c r="H20" s="88">
        <v>2.5899999999999999E-2</v>
      </c>
      <c r="I20" s="88">
        <v>2.5899999999999999E-2</v>
      </c>
      <c r="J20" s="88">
        <v>2.5899999999999999E-2</v>
      </c>
    </row>
    <row r="21" spans="1:10" ht="15.75" customHeight="1" x14ac:dyDescent="0.15">
      <c r="A21" s="10" t="s">
        <v>86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88">
        <v>7.1000000000000004E-3</v>
      </c>
      <c r="H21" s="88">
        <v>7.1000000000000004E-3</v>
      </c>
      <c r="I21" s="88">
        <v>7.1000000000000004E-3</v>
      </c>
      <c r="J21" s="88">
        <v>7.1000000000000004E-3</v>
      </c>
    </row>
    <row r="22" spans="1:10" ht="15.75" customHeight="1" x14ac:dyDescent="0.15">
      <c r="A22" s="10" t="s">
        <v>87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88">
        <v>0.25590000000000002</v>
      </c>
      <c r="H22" s="88">
        <v>0.25590000000000002</v>
      </c>
      <c r="I22" s="88">
        <v>0.25590000000000002</v>
      </c>
      <c r="J22" s="88">
        <v>0.25590000000000002</v>
      </c>
    </row>
    <row r="23" spans="1:10" ht="15.75" customHeight="1" x14ac:dyDescent="0.15">
      <c r="A23" s="10" t="s">
        <v>88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88">
        <v>0.1464</v>
      </c>
      <c r="H23" s="88">
        <v>0.1464</v>
      </c>
      <c r="I23" s="88">
        <v>0.1464</v>
      </c>
      <c r="J23" s="88">
        <v>0.1464</v>
      </c>
    </row>
    <row r="24" spans="1:10" ht="15.75" customHeight="1" x14ac:dyDescent="0.15">
      <c r="A24" s="10" t="s">
        <v>89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88">
        <v>1.7600000000000001E-2</v>
      </c>
      <c r="H24" s="88">
        <v>1.7600000000000001E-2</v>
      </c>
      <c r="I24" s="88">
        <v>1.7600000000000001E-2</v>
      </c>
      <c r="J24" s="88">
        <v>1.7600000000000001E-2</v>
      </c>
    </row>
    <row r="25" spans="1:10" ht="15.75" customHeight="1" x14ac:dyDescent="0.15">
      <c r="A25" s="10" t="s">
        <v>90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88">
        <v>1.8100000000000002E-2</v>
      </c>
      <c r="H25" s="88">
        <v>1.8100000000000002E-2</v>
      </c>
      <c r="I25" s="88">
        <v>1.8100000000000002E-2</v>
      </c>
      <c r="J25" s="88">
        <v>1.8100000000000002E-2</v>
      </c>
    </row>
    <row r="26" spans="1:10" ht="15.75" customHeight="1" x14ac:dyDescent="0.15">
      <c r="A26" s="10" t="s">
        <v>91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88">
        <v>1.14E-2</v>
      </c>
      <c r="H26" s="88">
        <v>1.14E-2</v>
      </c>
      <c r="I26" s="88">
        <v>1.14E-2</v>
      </c>
      <c r="J26" s="88">
        <v>1.14E-2</v>
      </c>
    </row>
    <row r="27" spans="1:10" ht="15.75" customHeight="1" x14ac:dyDescent="0.15">
      <c r="A27" s="10" t="s">
        <v>92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88">
        <v>0.15129999999999999</v>
      </c>
      <c r="H27" s="88">
        <v>0.15129999999999999</v>
      </c>
      <c r="I27" s="88">
        <v>0.15129999999999999</v>
      </c>
      <c r="J27" s="88">
        <v>0.15129999999999999</v>
      </c>
    </row>
    <row r="28" spans="1:10" ht="15.75" customHeight="1" x14ac:dyDescent="0.15">
      <c r="A28" s="10" t="s">
        <v>93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88">
        <v>0.36630000000000001</v>
      </c>
      <c r="H28" s="88">
        <v>0.36630000000000001</v>
      </c>
      <c r="I28" s="88">
        <v>0.36630000000000001</v>
      </c>
      <c r="J28" s="88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B6" sqref="B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213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216</v>
      </c>
      <c r="B3" s="31">
        <v>5.1999999999999998E-2</v>
      </c>
      <c r="C3" s="31">
        <v>5.1999999999999998E-2</v>
      </c>
      <c r="D3" s="31">
        <v>5.1999999999999998E-2</v>
      </c>
      <c r="E3" s="31">
        <v>5.1999999999999998E-2</v>
      </c>
      <c r="F3" s="31">
        <v>5.1999999999999998E-2</v>
      </c>
    </row>
    <row r="4" spans="1:6" ht="15.75" customHeight="1" x14ac:dyDescent="0.15">
      <c r="A4" s="4" t="s">
        <v>28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147</v>
      </c>
      <c r="B5" s="46">
        <f>Distributions!C10/100 * 2.6</f>
        <v>3.9000000000000003E-3</v>
      </c>
      <c r="C5" s="46">
        <f>Distributions!D10/100 * 2.6</f>
        <v>3.9000000000000003E-3</v>
      </c>
      <c r="D5" s="46">
        <f>Distributions!E10/100 * 2.6</f>
        <v>3.3540000000000006E-3</v>
      </c>
      <c r="E5" s="46">
        <f>Distributions!F10/100 * 2.6</f>
        <v>2.8600000000000001E-3</v>
      </c>
      <c r="F5" s="46">
        <f>Distributions!G10/100 * 2.6</f>
        <v>2.7299999999999998E-3</v>
      </c>
    </row>
    <row r="6" spans="1:6" ht="15.75" customHeight="1" x14ac:dyDescent="0.15">
      <c r="A6" s="4" t="s">
        <v>148</v>
      </c>
      <c r="B6" s="46">
        <f>Distributions!C11/100 * 2.6</f>
        <v>1.274E-3</v>
      </c>
      <c r="C6" s="46">
        <f>Distributions!D11/100 * 2.6</f>
        <v>1.274E-3</v>
      </c>
      <c r="D6" s="46">
        <f>Distributions!E11/100 * 2.6</f>
        <v>1.3780000000000001E-3</v>
      </c>
      <c r="E6" s="46">
        <f>Distributions!F11/100 * 2.6</f>
        <v>1.0659999999999999E-3</v>
      </c>
      <c r="F6" s="46">
        <f>Distributions!G11/100 * 2.6</f>
        <v>5.4600000000000004E-4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197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204</v>
      </c>
      <c r="B2" t="s">
        <v>206</v>
      </c>
      <c r="C2" s="96">
        <f t="shared" ref="C2:O2" si="0">1-C3</f>
        <v>0.95</v>
      </c>
      <c r="D2" s="96">
        <f t="shared" si="0"/>
        <v>0.95</v>
      </c>
      <c r="E2" s="96">
        <f t="shared" si="0"/>
        <v>0.68920000000000003</v>
      </c>
      <c r="F2" s="96">
        <f t="shared" si="0"/>
        <v>0.76900000000000002</v>
      </c>
      <c r="G2" s="96">
        <f t="shared" si="0"/>
        <v>0.82065999999999995</v>
      </c>
      <c r="H2" s="96">
        <f t="shared" si="0"/>
        <v>0.76419999999999999</v>
      </c>
      <c r="I2" s="96">
        <f t="shared" si="0"/>
        <v>0.76419999999999999</v>
      </c>
      <c r="J2" s="96">
        <f t="shared" si="0"/>
        <v>0.76419999999999999</v>
      </c>
      <c r="K2" s="96">
        <f t="shared" si="0"/>
        <v>0.76419999999999999</v>
      </c>
      <c r="L2" s="96">
        <f t="shared" si="0"/>
        <v>0.7762</v>
      </c>
      <c r="M2" s="96">
        <f t="shared" si="0"/>
        <v>0.7762</v>
      </c>
      <c r="N2" s="96">
        <f t="shared" si="0"/>
        <v>0.7762</v>
      </c>
      <c r="O2" s="96">
        <f t="shared" si="0"/>
        <v>0.7762</v>
      </c>
    </row>
    <row r="3" spans="1:15" x14ac:dyDescent="0.15">
      <c r="B3" t="s">
        <v>207</v>
      </c>
      <c r="C3" s="96">
        <f>C6</f>
        <v>0.05</v>
      </c>
      <c r="D3" s="96">
        <f t="shared" ref="D3:N3" si="1">D6</f>
        <v>0.05</v>
      </c>
      <c r="E3" s="96">
        <f t="shared" si="1"/>
        <v>0.31079999999999997</v>
      </c>
      <c r="F3" s="96">
        <f t="shared" si="1"/>
        <v>0.23100000000000001</v>
      </c>
      <c r="G3" s="96">
        <f t="shared" si="1"/>
        <v>0.17934</v>
      </c>
      <c r="H3" s="96">
        <f t="shared" si="1"/>
        <v>0.23580000000000001</v>
      </c>
      <c r="I3" s="96">
        <f t="shared" si="1"/>
        <v>0.23580000000000001</v>
      </c>
      <c r="J3" s="96">
        <f t="shared" si="1"/>
        <v>0.23580000000000001</v>
      </c>
      <c r="K3" s="96">
        <f t="shared" si="1"/>
        <v>0.23580000000000001</v>
      </c>
      <c r="L3" s="96">
        <f t="shared" si="1"/>
        <v>0.2238</v>
      </c>
      <c r="M3" s="96">
        <f t="shared" si="1"/>
        <v>0.2238</v>
      </c>
      <c r="N3" s="96">
        <f t="shared" si="1"/>
        <v>0.2238</v>
      </c>
      <c r="O3" s="96">
        <f>O6</f>
        <v>0.2238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198</v>
      </c>
      <c r="B5" t="s">
        <v>207</v>
      </c>
      <c r="C5" s="37">
        <v>0.1</v>
      </c>
      <c r="D5" s="37">
        <v>0.1</v>
      </c>
      <c r="E5" s="91">
        <v>0.74</v>
      </c>
      <c r="F5" s="91">
        <v>0.55000000000000004</v>
      </c>
      <c r="G5" s="91">
        <v>0.42699999999999999</v>
      </c>
      <c r="H5" s="92">
        <v>0.48149999999999998</v>
      </c>
      <c r="I5" s="92">
        <v>0.48149999999999998</v>
      </c>
      <c r="J5" s="92">
        <v>0.48149999999999998</v>
      </c>
      <c r="K5" s="92">
        <v>0.48149999999999998</v>
      </c>
      <c r="L5" s="92">
        <v>0.43469999999999998</v>
      </c>
      <c r="M5" s="92">
        <v>0.43469999999999998</v>
      </c>
      <c r="N5" s="92">
        <v>0.43469999999999998</v>
      </c>
      <c r="O5" s="92">
        <v>0.43469999999999998</v>
      </c>
    </row>
    <row r="6" spans="1:15" x14ac:dyDescent="0.15">
      <c r="A6" s="10" t="s">
        <v>199</v>
      </c>
      <c r="B6" t="s">
        <v>207</v>
      </c>
      <c r="C6" s="37">
        <v>0.05</v>
      </c>
      <c r="D6" s="37">
        <v>0.05</v>
      </c>
      <c r="E6" s="91">
        <v>0.31079999999999997</v>
      </c>
      <c r="F6" s="91">
        <v>0.23100000000000001</v>
      </c>
      <c r="G6" s="91">
        <v>0.17934</v>
      </c>
      <c r="H6" s="92">
        <v>0.23580000000000001</v>
      </c>
      <c r="I6" s="92">
        <v>0.23580000000000001</v>
      </c>
      <c r="J6" s="92">
        <v>0.23580000000000001</v>
      </c>
      <c r="K6" s="92">
        <v>0.23580000000000001</v>
      </c>
      <c r="L6" s="92">
        <v>0.2238</v>
      </c>
      <c r="M6" s="92">
        <v>0.2238</v>
      </c>
      <c r="N6" s="92">
        <v>0.2238</v>
      </c>
      <c r="O6" s="92">
        <v>0.2238</v>
      </c>
    </row>
    <row r="7" spans="1:15" x14ac:dyDescent="0.15">
      <c r="A7" s="10" t="s">
        <v>200</v>
      </c>
      <c r="B7" t="s">
        <v>207</v>
      </c>
      <c r="C7" s="91">
        <v>0.01</v>
      </c>
      <c r="D7" s="91">
        <v>0.01</v>
      </c>
      <c r="E7" s="91">
        <v>0.01</v>
      </c>
      <c r="F7" s="91">
        <v>0.01</v>
      </c>
      <c r="G7" s="91">
        <v>0.01</v>
      </c>
      <c r="H7" s="91">
        <v>6.0000000000000001E-3</v>
      </c>
      <c r="I7" s="91">
        <v>6.0000000000000001E-3</v>
      </c>
      <c r="J7" s="91">
        <v>6.0000000000000001E-3</v>
      </c>
      <c r="K7" s="91">
        <v>6.0000000000000001E-3</v>
      </c>
      <c r="L7" s="91">
        <v>0</v>
      </c>
      <c r="M7" s="91">
        <v>0</v>
      </c>
      <c r="N7" s="91">
        <v>0</v>
      </c>
      <c r="O7" s="91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selection activeCell="F20" sqref="F20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95">
        <v>0.63400000000000001</v>
      </c>
      <c r="D2" s="95">
        <v>0.63400000000000001</v>
      </c>
      <c r="E2" s="95">
        <v>0.49</v>
      </c>
      <c r="F2" s="95">
        <v>0.28000000000000003</v>
      </c>
      <c r="G2" s="95">
        <v>0.2535</v>
      </c>
    </row>
    <row r="3" spans="1:7" ht="15.75" customHeight="1" x14ac:dyDescent="0.15">
      <c r="A3" s="11"/>
      <c r="B3" s="12" t="s">
        <v>23</v>
      </c>
      <c r="C3" s="95">
        <v>0.22600000000000001</v>
      </c>
      <c r="D3" s="95">
        <v>0.22600000000000001</v>
      </c>
      <c r="E3" s="95">
        <v>0.314</v>
      </c>
      <c r="F3" s="95">
        <v>0.33899999999999997</v>
      </c>
      <c r="G3" s="95">
        <v>0.33250000000000002</v>
      </c>
    </row>
    <row r="4" spans="1:7" ht="15.75" customHeight="1" x14ac:dyDescent="0.15">
      <c r="A4" s="11"/>
      <c r="B4" s="12" t="s">
        <v>25</v>
      </c>
      <c r="C4" s="95">
        <v>0.10199999999999999</v>
      </c>
      <c r="D4" s="95">
        <v>0.10199999999999999</v>
      </c>
      <c r="E4" s="95">
        <v>0.14699999999999999</v>
      </c>
      <c r="F4" s="95">
        <v>0.247</v>
      </c>
      <c r="G4" s="95">
        <v>0.28100000000000003</v>
      </c>
    </row>
    <row r="5" spans="1:7" ht="15.75" customHeight="1" x14ac:dyDescent="0.15">
      <c r="A5" s="11"/>
      <c r="B5" s="12" t="s">
        <v>26</v>
      </c>
      <c r="C5" s="95">
        <v>3.7999999999999999E-2</v>
      </c>
      <c r="D5" s="95">
        <v>3.7999999999999999E-2</v>
      </c>
      <c r="E5" s="95">
        <v>4.9000000000000002E-2</v>
      </c>
      <c r="F5" s="95">
        <v>0.13400000000000001</v>
      </c>
      <c r="G5" s="95">
        <v>0.13300000000000001</v>
      </c>
    </row>
    <row r="6" spans="1:7" ht="15.75" customHeight="1" x14ac:dyDescent="0.15">
      <c r="C6" s="96"/>
      <c r="D6" s="96"/>
      <c r="E6" s="96"/>
      <c r="F6" s="96"/>
      <c r="G6" s="96"/>
    </row>
    <row r="7" spans="1:7" ht="15.75" customHeight="1" x14ac:dyDescent="0.15">
      <c r="C7" s="96"/>
      <c r="D7" s="96"/>
      <c r="E7" s="96"/>
      <c r="F7" s="96"/>
      <c r="G7" s="96"/>
    </row>
    <row r="8" spans="1:7" ht="15.75" customHeight="1" x14ac:dyDescent="0.15">
      <c r="A8" s="4" t="s">
        <v>27</v>
      </c>
      <c r="B8" s="4" t="s">
        <v>14</v>
      </c>
      <c r="C8" s="95">
        <v>0.56799999999999995</v>
      </c>
      <c r="D8" s="95">
        <v>0.56799999999999995</v>
      </c>
      <c r="E8" s="95">
        <v>0.58650000000000002</v>
      </c>
      <c r="F8" s="95">
        <v>0.54899999999999993</v>
      </c>
      <c r="G8" s="95">
        <v>0.49</v>
      </c>
    </row>
    <row r="9" spans="1:7" ht="15.75" customHeight="1" x14ac:dyDescent="0.15">
      <c r="B9" s="4" t="s">
        <v>23</v>
      </c>
      <c r="C9" s="95">
        <v>0.23300000000000001</v>
      </c>
      <c r="D9" s="95">
        <v>0.23300000000000001</v>
      </c>
      <c r="E9" s="95">
        <v>0.23149999999999998</v>
      </c>
      <c r="F9" s="95">
        <v>0.3</v>
      </c>
      <c r="G9" s="95">
        <v>0.38400000000000001</v>
      </c>
    </row>
    <row r="10" spans="1:7" ht="15.75" customHeight="1" x14ac:dyDescent="0.15">
      <c r="B10" s="4" t="s">
        <v>147</v>
      </c>
      <c r="C10" s="95">
        <v>0.15</v>
      </c>
      <c r="D10" s="95">
        <v>0.15</v>
      </c>
      <c r="E10" s="95">
        <v>0.129</v>
      </c>
      <c r="F10" s="95">
        <v>0.11</v>
      </c>
      <c r="G10" s="95">
        <v>0.105</v>
      </c>
    </row>
    <row r="11" spans="1:7" ht="15.75" customHeight="1" x14ac:dyDescent="0.15">
      <c r="B11" s="4" t="s">
        <v>148</v>
      </c>
      <c r="C11" s="95">
        <v>4.9000000000000002E-2</v>
      </c>
      <c r="D11" s="95">
        <v>4.9000000000000002E-2</v>
      </c>
      <c r="E11" s="95">
        <v>5.2999999999999999E-2</v>
      </c>
      <c r="F11" s="95">
        <v>4.0999999999999995E-2</v>
      </c>
      <c r="G11" s="95">
        <v>2.1000000000000001E-2</v>
      </c>
    </row>
    <row r="12" spans="1:7" ht="15.75" customHeight="1" x14ac:dyDescent="0.15">
      <c r="C12" s="96"/>
      <c r="D12" s="96"/>
      <c r="E12" s="96"/>
      <c r="F12" s="96"/>
      <c r="G12" s="96"/>
    </row>
    <row r="13" spans="1:7" ht="15.75" customHeight="1" x14ac:dyDescent="0.15">
      <c r="C13" s="96"/>
      <c r="D13" s="96"/>
      <c r="E13" s="96"/>
      <c r="F13" s="96"/>
      <c r="G13" s="96"/>
    </row>
    <row r="14" spans="1:7" ht="15.75" customHeight="1" x14ac:dyDescent="0.15">
      <c r="A14" s="4" t="s">
        <v>36</v>
      </c>
      <c r="B14" s="4" t="s">
        <v>37</v>
      </c>
      <c r="C14" s="95">
        <v>0.80299999999999994</v>
      </c>
      <c r="D14" s="95">
        <v>0.46200000000000002</v>
      </c>
      <c r="E14" s="95">
        <v>3.3000000000000002E-2</v>
      </c>
      <c r="F14" s="95">
        <v>6.9999999999999993E-3</v>
      </c>
      <c r="G14" s="95">
        <v>0</v>
      </c>
    </row>
    <row r="15" spans="1:7" ht="15.75" customHeight="1" x14ac:dyDescent="0.15">
      <c r="B15" s="4" t="s">
        <v>38</v>
      </c>
      <c r="C15" s="95">
        <v>6.8000000000000005E-2</v>
      </c>
      <c r="D15" s="95">
        <v>0.16300000000000001</v>
      </c>
      <c r="E15" s="95">
        <v>9.4E-2</v>
      </c>
      <c r="F15" s="95">
        <v>4.4999999999999998E-2</v>
      </c>
      <c r="G15" s="95">
        <v>0</v>
      </c>
    </row>
    <row r="16" spans="1:7" ht="15.75" customHeight="1" x14ac:dyDescent="0.15">
      <c r="B16" s="4" t="s">
        <v>39</v>
      </c>
      <c r="C16" s="95">
        <v>0.107</v>
      </c>
      <c r="D16" s="95">
        <v>0.37</v>
      </c>
      <c r="E16" s="95">
        <v>0.83700000000000008</v>
      </c>
      <c r="F16" s="95">
        <v>0.879</v>
      </c>
      <c r="G16" s="95">
        <v>0</v>
      </c>
    </row>
    <row r="17" spans="2:7" ht="15.75" customHeight="1" x14ac:dyDescent="0.15">
      <c r="B17" s="4" t="s">
        <v>40</v>
      </c>
      <c r="C17" s="95">
        <v>2.2000000000000002E-2</v>
      </c>
      <c r="D17" s="95">
        <v>5.0000000000000001E-3</v>
      </c>
      <c r="E17" s="95">
        <v>3.6000000000000004E-2</v>
      </c>
      <c r="F17" s="95">
        <v>6.9000000000000006E-2</v>
      </c>
      <c r="G17" s="95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A3" workbookViewId="0">
      <selection activeCell="A2" sqref="A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230</v>
      </c>
      <c r="B1" s="10" t="s">
        <v>231</v>
      </c>
      <c r="C1" s="10" t="s">
        <v>232</v>
      </c>
    </row>
    <row r="2" spans="1:3" ht="39" x14ac:dyDescent="0.15">
      <c r="A2" s="102" t="s">
        <v>233</v>
      </c>
      <c r="B2" s="108" t="s">
        <v>234</v>
      </c>
      <c r="C2" s="104">
        <v>0.15</v>
      </c>
    </row>
    <row r="3" spans="1:3" ht="52" x14ac:dyDescent="0.15">
      <c r="B3" s="103" t="s">
        <v>235</v>
      </c>
      <c r="C3" s="104">
        <v>0.03</v>
      </c>
    </row>
    <row r="4" spans="1:3" ht="52" x14ac:dyDescent="0.15">
      <c r="B4" s="103" t="s">
        <v>236</v>
      </c>
      <c r="C4" s="104">
        <v>0</v>
      </c>
    </row>
    <row r="5" spans="1:3" ht="39" x14ac:dyDescent="0.15">
      <c r="B5" s="105" t="s">
        <v>237</v>
      </c>
      <c r="C5" s="104">
        <v>0.19</v>
      </c>
    </row>
    <row r="6" spans="1:3" ht="52" x14ac:dyDescent="0.15">
      <c r="B6" s="105" t="s">
        <v>238</v>
      </c>
      <c r="C6" s="104">
        <v>0.39</v>
      </c>
    </row>
    <row r="7" spans="1:3" ht="52" x14ac:dyDescent="0.15">
      <c r="B7" s="105" t="s">
        <v>239</v>
      </c>
      <c r="C7" s="104">
        <v>0.19</v>
      </c>
    </row>
    <row r="8" spans="1:3" ht="26" x14ac:dyDescent="0.15">
      <c r="B8" s="106" t="s">
        <v>240</v>
      </c>
      <c r="C8" s="104">
        <v>1E-3</v>
      </c>
    </row>
    <row r="9" spans="1:3" ht="52" x14ac:dyDescent="0.15">
      <c r="B9" s="106" t="s">
        <v>241</v>
      </c>
      <c r="C9" s="104">
        <v>7.0000000000000001E-3</v>
      </c>
    </row>
    <row r="10" spans="1:3" ht="52" x14ac:dyDescent="0.15">
      <c r="B10" s="106" t="s">
        <v>242</v>
      </c>
      <c r="C10" s="104">
        <v>0.04</v>
      </c>
    </row>
    <row r="11" spans="1:3" x14ac:dyDescent="0.15">
      <c r="C11" s="104"/>
    </row>
    <row r="12" spans="1:3" ht="26" x14ac:dyDescent="0.15">
      <c r="A12" s="102" t="s">
        <v>243</v>
      </c>
      <c r="B12" s="107" t="s">
        <v>244</v>
      </c>
      <c r="C12" s="104">
        <v>0.34</v>
      </c>
    </row>
    <row r="13" spans="1:3" ht="26" x14ac:dyDescent="0.15">
      <c r="B13" s="107" t="s">
        <v>245</v>
      </c>
      <c r="C13" s="104">
        <v>0.05</v>
      </c>
    </row>
    <row r="14" spans="1:3" ht="26" x14ac:dyDescent="0.15">
      <c r="B14" s="107" t="s">
        <v>246</v>
      </c>
      <c r="C14" s="104">
        <v>7.0000000000000007E-2</v>
      </c>
    </row>
    <row r="15" spans="1:3" ht="26" x14ac:dyDescent="0.15">
      <c r="B15" s="107" t="s">
        <v>247</v>
      </c>
      <c r="C15" s="104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101</v>
      </c>
      <c r="B1" s="10" t="s">
        <v>58</v>
      </c>
      <c r="C1" s="29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57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90"/>
      <c r="D3" s="74"/>
      <c r="E3" s="74"/>
      <c r="F3" s="74"/>
    </row>
    <row r="4" spans="1:6" ht="15.75" customHeight="1" x14ac:dyDescent="0.15">
      <c r="A4" s="10"/>
      <c r="C4" s="90"/>
      <c r="D4" s="74"/>
      <c r="E4" s="74"/>
      <c r="F4" s="74"/>
    </row>
    <row r="5" spans="1:6" ht="15.75" customHeight="1" x14ac:dyDescent="0.15">
      <c r="A5" s="10" t="s">
        <v>196</v>
      </c>
      <c r="B5" t="s">
        <v>210</v>
      </c>
      <c r="C5" s="35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147</v>
      </c>
      <c r="C7" s="54">
        <v>1</v>
      </c>
      <c r="D7" s="54">
        <v>2.58</v>
      </c>
      <c r="E7" s="54">
        <v>1.65</v>
      </c>
      <c r="F7" s="54">
        <v>3.5</v>
      </c>
    </row>
    <row r="8" spans="1:6" ht="15.75" customHeight="1" x14ac:dyDescent="0.2">
      <c r="B8" t="s">
        <v>148</v>
      </c>
      <c r="C8" s="54">
        <v>1</v>
      </c>
      <c r="D8" s="54">
        <v>2.58</v>
      </c>
      <c r="E8" s="54">
        <v>1.65</v>
      </c>
      <c r="F8" s="54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9"/>
      <c r="D11" s="10"/>
      <c r="E11" s="10"/>
      <c r="F11" s="10"/>
    </row>
    <row r="12" spans="1:6" ht="15.75" customHeight="1" x14ac:dyDescent="0.15">
      <c r="A12" s="10" t="s">
        <v>195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248</v>
      </c>
      <c r="B23" s="109" t="s">
        <v>234</v>
      </c>
      <c r="C23" s="110">
        <v>1</v>
      </c>
      <c r="D23" s="110">
        <v>1.52</v>
      </c>
      <c r="E23" s="110">
        <v>1.75</v>
      </c>
      <c r="F23" s="110">
        <v>3.14</v>
      </c>
      <c r="G23" s="111"/>
    </row>
    <row r="24" spans="1:7" ht="15.75" customHeight="1" x14ac:dyDescent="0.15">
      <c r="B24" s="109" t="s">
        <v>235</v>
      </c>
      <c r="C24" s="110">
        <v>1</v>
      </c>
      <c r="D24" s="110">
        <v>1.2</v>
      </c>
      <c r="E24" s="110">
        <v>1.4</v>
      </c>
      <c r="F24" s="110">
        <v>1.6</v>
      </c>
      <c r="G24" s="111"/>
    </row>
    <row r="25" spans="1:7" ht="15.75" customHeight="1" x14ac:dyDescent="0.15">
      <c r="B25" s="109" t="s">
        <v>236</v>
      </c>
      <c r="C25" s="110">
        <v>1</v>
      </c>
      <c r="D25" s="110">
        <v>1.2</v>
      </c>
      <c r="E25" s="110">
        <v>1.4</v>
      </c>
      <c r="F25" s="110">
        <v>1.6</v>
      </c>
      <c r="G25" s="111"/>
    </row>
    <row r="26" spans="1:7" ht="15.75" customHeight="1" x14ac:dyDescent="0.15">
      <c r="B26" s="112" t="s">
        <v>237</v>
      </c>
      <c r="C26" s="110">
        <v>1</v>
      </c>
      <c r="D26" s="110">
        <v>1.52</v>
      </c>
      <c r="E26" s="110">
        <v>1.75</v>
      </c>
      <c r="F26" s="110">
        <v>1.73</v>
      </c>
      <c r="G26" s="111"/>
    </row>
    <row r="27" spans="1:7" ht="15.75" customHeight="1" x14ac:dyDescent="0.15">
      <c r="B27" s="112" t="s">
        <v>238</v>
      </c>
      <c r="C27" s="110">
        <v>1</v>
      </c>
      <c r="D27" s="110">
        <v>1</v>
      </c>
      <c r="E27" s="110">
        <v>1</v>
      </c>
      <c r="F27" s="110">
        <v>1</v>
      </c>
      <c r="G27" s="111"/>
    </row>
    <row r="28" spans="1:7" ht="15.75" customHeight="1" x14ac:dyDescent="0.15">
      <c r="B28" s="112" t="s">
        <v>239</v>
      </c>
      <c r="C28" s="110">
        <v>1</v>
      </c>
      <c r="D28" s="110">
        <v>1</v>
      </c>
      <c r="E28" s="110">
        <v>1</v>
      </c>
      <c r="F28" s="110">
        <v>1</v>
      </c>
      <c r="G28" s="111"/>
    </row>
    <row r="29" spans="1:7" ht="15.75" customHeight="1" x14ac:dyDescent="0.15">
      <c r="B29" s="113" t="s">
        <v>240</v>
      </c>
      <c r="C29" s="110">
        <v>1</v>
      </c>
      <c r="D29" s="110">
        <v>1.52</v>
      </c>
      <c r="E29" s="110">
        <v>1.75</v>
      </c>
      <c r="F29" s="110">
        <v>1.52</v>
      </c>
      <c r="G29" s="111"/>
    </row>
    <row r="30" spans="1:7" ht="15.75" customHeight="1" x14ac:dyDescent="0.15">
      <c r="B30" s="113" t="s">
        <v>241</v>
      </c>
      <c r="C30" s="110">
        <v>1</v>
      </c>
      <c r="D30" s="110">
        <v>1</v>
      </c>
      <c r="E30" s="110">
        <v>1.33</v>
      </c>
      <c r="F30" s="110">
        <v>1</v>
      </c>
      <c r="G30" s="111"/>
    </row>
    <row r="31" spans="1:7" ht="15.75" customHeight="1" x14ac:dyDescent="0.15">
      <c r="B31" s="113" t="s">
        <v>242</v>
      </c>
      <c r="C31" s="110">
        <v>1</v>
      </c>
      <c r="D31" s="110">
        <v>1</v>
      </c>
      <c r="E31" s="110">
        <v>1.33</v>
      </c>
      <c r="F31" s="110">
        <v>1</v>
      </c>
      <c r="G31" s="111"/>
    </row>
    <row r="32" spans="1:7" ht="15.75" customHeight="1" x14ac:dyDescent="0.15">
      <c r="B32" s="115"/>
      <c r="C32" s="110"/>
      <c r="D32" s="110"/>
      <c r="E32" s="110"/>
      <c r="F32" s="110"/>
      <c r="G32" s="111"/>
    </row>
    <row r="33" spans="1:7" ht="15.75" customHeight="1" x14ac:dyDescent="0.15">
      <c r="C33" s="111"/>
      <c r="D33" s="111"/>
      <c r="E33" s="111"/>
      <c r="F33" s="111"/>
      <c r="G33" s="111"/>
    </row>
    <row r="34" spans="1:7" ht="15.75" customHeight="1" x14ac:dyDescent="0.15">
      <c r="B34" s="10"/>
      <c r="C34" s="114"/>
      <c r="D34" s="114"/>
      <c r="E34" s="114"/>
      <c r="F34" s="114"/>
      <c r="G34" s="111"/>
    </row>
    <row r="35" spans="1:7" ht="15.75" customHeight="1" x14ac:dyDescent="0.15">
      <c r="A35" s="10" t="s">
        <v>249</v>
      </c>
      <c r="B35" s="115" t="s">
        <v>244</v>
      </c>
      <c r="C35" s="110">
        <v>1</v>
      </c>
      <c r="D35" s="116">
        <v>1</v>
      </c>
      <c r="E35" s="116">
        <v>1</v>
      </c>
      <c r="F35" s="116">
        <v>1</v>
      </c>
      <c r="G35" s="111"/>
    </row>
    <row r="36" spans="1:7" ht="15.75" customHeight="1" x14ac:dyDescent="0.15">
      <c r="B36" s="115" t="s">
        <v>245</v>
      </c>
      <c r="C36" s="110">
        <v>1</v>
      </c>
      <c r="D36" s="116">
        <v>1.41</v>
      </c>
      <c r="E36" s="116">
        <v>1.49</v>
      </c>
      <c r="F36" s="116">
        <v>3.03</v>
      </c>
      <c r="G36" s="111"/>
    </row>
    <row r="37" spans="1:7" ht="15.75" customHeight="1" x14ac:dyDescent="0.15">
      <c r="B37" s="115" t="s">
        <v>246</v>
      </c>
      <c r="C37" s="110">
        <v>1</v>
      </c>
      <c r="D37" s="116">
        <v>1.18</v>
      </c>
      <c r="E37" s="116">
        <v>1.1000000000000001</v>
      </c>
      <c r="F37" s="116">
        <v>1.77</v>
      </c>
      <c r="G37" s="111"/>
    </row>
    <row r="38" spans="1:7" ht="15.75" customHeight="1" x14ac:dyDescent="0.15">
      <c r="B38" s="115" t="s">
        <v>247</v>
      </c>
      <c r="C38" s="110">
        <v>1</v>
      </c>
      <c r="D38" s="116">
        <v>1</v>
      </c>
      <c r="E38" s="116">
        <v>1</v>
      </c>
      <c r="F38" s="116">
        <v>1</v>
      </c>
      <c r="G38" s="1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P100"/>
  <sheetViews>
    <sheetView topLeftCell="A78" workbookViewId="0">
      <selection activeCell="I1" sqref="I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56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115</v>
      </c>
      <c r="J1" s="10" t="s">
        <v>116</v>
      </c>
      <c r="K1" s="10" t="s">
        <v>117</v>
      </c>
      <c r="L1" s="10" t="s">
        <v>118</v>
      </c>
      <c r="M1" s="10" t="s">
        <v>111</v>
      </c>
      <c r="N1" s="10" t="s">
        <v>112</v>
      </c>
      <c r="O1" s="10" t="s">
        <v>113</v>
      </c>
      <c r="P1" s="10" t="s">
        <v>114</v>
      </c>
    </row>
    <row r="2" spans="1:16" x14ac:dyDescent="0.15">
      <c r="A2" s="10" t="s">
        <v>13</v>
      </c>
      <c r="B2" t="s">
        <v>213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213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204</v>
      </c>
      <c r="B46" t="s">
        <v>213</v>
      </c>
      <c r="C46" s="4" t="s">
        <v>206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207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206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207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206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207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206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207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206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207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85</v>
      </c>
      <c r="C56" s="4" t="s">
        <v>206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207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86</v>
      </c>
      <c r="C58" s="4" t="s">
        <v>206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207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87</v>
      </c>
      <c r="C60" s="4" t="s">
        <v>206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207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213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214</v>
      </c>
      <c r="B94" s="11" t="s">
        <v>215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 dependencies</vt:lpstr>
      <vt:lpstr>Program risk areas</vt:lpstr>
      <vt:lpstr>Population risk areas</vt:lpstr>
      <vt:lpstr>Programs cost and coverage</vt:lpstr>
      <vt:lpstr>Programs to include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2018-01-17T04:45:04Z</dcterms:modified>
</cp:coreProperties>
</file>