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BF3542CA-EB2A-49D9-B2EF-19A03E05D8DB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A39" i="2"/>
  <c r="H38" i="2"/>
  <c r="G38" i="2"/>
  <c r="I38" i="2" s="1"/>
  <c r="H37" i="2"/>
  <c r="G37" i="2"/>
  <c r="I37" i="2" s="1"/>
  <c r="A37" i="2"/>
  <c r="H36" i="2"/>
  <c r="G36" i="2"/>
  <c r="I36" i="2" s="1"/>
  <c r="H35" i="2"/>
  <c r="G35" i="2"/>
  <c r="I35" i="2" s="1"/>
  <c r="A35" i="2"/>
  <c r="H34" i="2"/>
  <c r="G34" i="2"/>
  <c r="I34" i="2" s="1"/>
  <c r="H33" i="2"/>
  <c r="G33" i="2"/>
  <c r="I33" i="2" s="1"/>
  <c r="A33" i="2"/>
  <c r="H32" i="2"/>
  <c r="G32" i="2"/>
  <c r="I32" i="2" s="1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<sst xmlns="http://schemas.openxmlformats.org/spreadsheetml/2006/main" count="2093" uniqueCount="337">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</sst>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556810.19921875</v>
      </c>
    </row>
    <row r="8" spans="1:3" ht="15" customHeight="1" x14ac:dyDescent="0.25">
      <c r="B8" s="69" t="s">
        <v>8</v>
      </c>
      <c r="C8" s="32">
        <v>0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0.96395172119140593</v>
      </c>
    </row>
    <row r="11" spans="1:3" ht="15" customHeight="1" x14ac:dyDescent="0.25">
      <c r="B11" s="69" t="s">
        <v>11</v>
      </c>
      <c r="C11" s="32">
        <v>0.997</v>
      </c>
    </row>
    <row r="12" spans="1:3" ht="15" customHeight="1" x14ac:dyDescent="0.25">
      <c r="B12" s="69" t="s">
        <v>12</v>
      </c>
      <c r="C12" s="32">
        <v>0.93400000000000005</v>
      </c>
    </row>
    <row r="13" spans="1:3" ht="15" customHeight="1" x14ac:dyDescent="0.25">
      <c r="B13" s="69" t="s">
        <v>13</v>
      </c>
      <c r="C13" s="32">
        <v>0.25800000000000001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5.7299999999999997E-2</v>
      </c>
    </row>
    <row r="24" spans="1:3" ht="15" customHeight="1" x14ac:dyDescent="0.25">
      <c r="B24" s="7" t="s">
        <v>22</v>
      </c>
      <c r="C24" s="33">
        <v>0.57350000000000001</v>
      </c>
    </row>
    <row r="25" spans="1:3" ht="15" customHeight="1" x14ac:dyDescent="0.25">
      <c r="B25" s="7" t="s">
        <v>23</v>
      </c>
      <c r="C25" s="33">
        <v>0.35089999999999999</v>
      </c>
    </row>
    <row r="26" spans="1:3" ht="15" customHeight="1" x14ac:dyDescent="0.25">
      <c r="B26" s="7" t="s">
        <v>24</v>
      </c>
      <c r="C26" s="33">
        <v>1.83E-2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1.2143297117327601</v>
      </c>
    </row>
    <row r="38" spans="1:5" ht="15" customHeight="1" x14ac:dyDescent="0.25">
      <c r="B38" s="65" t="s">
        <v>34</v>
      </c>
      <c r="C38" s="94">
        <v>2.42191846824932</v>
      </c>
      <c r="D38" s="5"/>
      <c r="E38" s="6"/>
    </row>
    <row r="39" spans="1:5" ht="15" customHeight="1" x14ac:dyDescent="0.25">
      <c r="B39" s="65" t="s">
        <v>35</v>
      </c>
      <c r="C39" s="94">
        <v>3.2302855332426699</v>
      </c>
      <c r="D39" s="5"/>
      <c r="E39" s="5"/>
    </row>
    <row r="40" spans="1:5" ht="15" customHeight="1" x14ac:dyDescent="0.25">
      <c r="B40" s="65" t="s">
        <v>36</v>
      </c>
      <c r="C40" s="94">
        <v>0.02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2.0198738170000001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2.11395375E-2</v>
      </c>
      <c r="D45" s="5"/>
    </row>
    <row r="46" spans="1:5" ht="15.75" customHeight="1" x14ac:dyDescent="0.25">
      <c r="B46" s="65" t="s">
        <v>41</v>
      </c>
      <c r="C46" s="33">
        <v>7.4799499999999991E-2</v>
      </c>
      <c r="D46" s="5"/>
    </row>
    <row r="47" spans="1:5" ht="15.75" customHeight="1" x14ac:dyDescent="0.25">
      <c r="B47" s="65" t="s">
        <v>42</v>
      </c>
      <c r="C47" s="33">
        <v>0.13228186250000001</v>
      </c>
      <c r="D47" s="5"/>
      <c r="E47" s="6"/>
    </row>
    <row r="48" spans="1:5" ht="15" customHeight="1" x14ac:dyDescent="0.25">
      <c r="B48" s="65" t="s">
        <v>43</v>
      </c>
      <c r="C48" s="97">
        <v>0.77177909999999994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2.8</v>
      </c>
      <c r="D51" s="5"/>
    </row>
    <row r="52" spans="1:4" ht="15" customHeight="1" x14ac:dyDescent="0.25">
      <c r="B52" s="65" t="s">
        <v>46</v>
      </c>
      <c r="C52" s="35">
        <v>2.8</v>
      </c>
    </row>
    <row r="53" spans="1:4" ht="15.75" customHeight="1" x14ac:dyDescent="0.25">
      <c r="B53" s="65" t="s">
        <v>47</v>
      </c>
      <c r="C53" s="35">
        <v>2.8</v>
      </c>
    </row>
    <row r="54" spans="1:4" ht="15.75" customHeight="1" x14ac:dyDescent="0.25">
      <c r="B54" s="65" t="s">
        <v>48</v>
      </c>
      <c r="C54" s="35">
        <v>2.8</v>
      </c>
    </row>
    <row r="55" spans="1:4" ht="15.75" customHeight="1" x14ac:dyDescent="0.25">
      <c r="B55" s="65" t="s">
        <v>49</v>
      </c>
      <c r="C55" s="35">
        <v>2.8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1.6428571428571431E-2</v>
      </c>
    </row>
    <row r="59" spans="1:4" ht="15.75" customHeight="1" x14ac:dyDescent="0.25">
      <c r="B59" s="65" t="s">
        <v>52</v>
      </c>
      <c r="C59" s="32">
        <v>0.64647999999999994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5.0638231999999901E-2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105592.045</v>
      </c>
      <c r="C2" s="37">
        <v>221000</v>
      </c>
      <c r="D2" s="37">
        <v>500000</v>
      </c>
      <c r="E2" s="37">
        <v>742000</v>
      </c>
      <c r="F2" s="37">
        <v>680000</v>
      </c>
      <c r="G2" s="9">
        <f t="shared" ref="G2:G40" si="0">C2+D2+E2+F2</f>
        <v>2143000</v>
      </c>
      <c r="H2" s="9">
        <f t="shared" ref="H2:H40" si="1">(B2 + stillbirth*B2/(1000-stillbirth))/(1-abortion)</f>
        <v>120233.81736689007</v>
      </c>
      <c r="I2" s="9">
        <f t="shared" ref="I2:I40" si="2">G2-H2</f>
        <v>2022766.1826331099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103537.764</v>
      </c>
      <c r="C3" s="37">
        <v>227000</v>
      </c>
      <c r="D3" s="37">
        <v>479000</v>
      </c>
      <c r="E3" s="37">
        <v>731000</v>
      </c>
      <c r="F3" s="37">
        <v>685000</v>
      </c>
      <c r="G3" s="9">
        <f t="shared" si="0"/>
        <v>2122000</v>
      </c>
      <c r="H3" s="9">
        <f t="shared" si="1"/>
        <v>117894.68238210713</v>
      </c>
      <c r="I3" s="9">
        <f t="shared" si="2"/>
        <v>2004105.3176178928</v>
      </c>
    </row>
    <row r="4" spans="1:9" ht="15.75" customHeight="1" x14ac:dyDescent="0.25">
      <c r="A4" s="69">
        <f t="shared" si="3"/>
        <v>2023</v>
      </c>
      <c r="B4" s="36">
        <v>101480.4528</v>
      </c>
      <c r="C4" s="37">
        <v>234000</v>
      </c>
      <c r="D4" s="37">
        <v>462000</v>
      </c>
      <c r="E4" s="37">
        <v>715000</v>
      </c>
      <c r="F4" s="37">
        <v>691000</v>
      </c>
      <c r="G4" s="9">
        <f t="shared" si="0"/>
        <v>2102000</v>
      </c>
      <c r="H4" s="9">
        <f t="shared" si="1"/>
        <v>115552.09701890429</v>
      </c>
      <c r="I4" s="9">
        <f t="shared" si="2"/>
        <v>1986447.9029810957</v>
      </c>
    </row>
    <row r="5" spans="1:9" ht="15.75" customHeight="1" x14ac:dyDescent="0.25">
      <c r="A5" s="69">
        <f t="shared" si="3"/>
        <v>2024</v>
      </c>
      <c r="B5" s="36">
        <v>99420.695200000016</v>
      </c>
      <c r="C5" s="37">
        <v>242000</v>
      </c>
      <c r="D5" s="37">
        <v>450000</v>
      </c>
      <c r="E5" s="37">
        <v>696000</v>
      </c>
      <c r="F5" s="37">
        <v>697000</v>
      </c>
      <c r="G5" s="9">
        <f t="shared" si="0"/>
        <v>2085000</v>
      </c>
      <c r="H5" s="9">
        <f t="shared" si="1"/>
        <v>113206.72602908719</v>
      </c>
      <c r="I5" s="9">
        <f t="shared" si="2"/>
        <v>1971793.2739709129</v>
      </c>
    </row>
    <row r="6" spans="1:9" ht="15.75" customHeight="1" x14ac:dyDescent="0.25">
      <c r="A6" s="69">
        <f t="shared" si="3"/>
        <v>2025</v>
      </c>
      <c r="B6" s="36">
        <v>97359.074999999997</v>
      </c>
      <c r="C6" s="37">
        <v>250000</v>
      </c>
      <c r="D6" s="37">
        <v>443000</v>
      </c>
      <c r="E6" s="37">
        <v>673000</v>
      </c>
      <c r="F6" s="37">
        <v>706000</v>
      </c>
      <c r="G6" s="9">
        <f t="shared" si="0"/>
        <v>2072000</v>
      </c>
      <c r="H6" s="9">
        <f t="shared" si="1"/>
        <v>110859.23416446146</v>
      </c>
      <c r="I6" s="9">
        <f t="shared" si="2"/>
        <v>1961140.7658355385</v>
      </c>
    </row>
    <row r="7" spans="1:9" ht="15.75" customHeight="1" x14ac:dyDescent="0.25">
      <c r="A7" s="69">
        <f t="shared" si="3"/>
        <v>2026</v>
      </c>
      <c r="B7" s="36">
        <v>95737.640000000014</v>
      </c>
      <c r="C7" s="37">
        <v>257000</v>
      </c>
      <c r="D7" s="37">
        <v>441000</v>
      </c>
      <c r="E7" s="37">
        <v>645000</v>
      </c>
      <c r="F7" s="37">
        <v>714000</v>
      </c>
      <c r="G7" s="9">
        <f t="shared" si="0"/>
        <v>2057000</v>
      </c>
      <c r="H7" s="9">
        <f t="shared" si="1"/>
        <v>109012.96516131562</v>
      </c>
      <c r="I7" s="9">
        <f t="shared" si="2"/>
        <v>1947987.0348386844</v>
      </c>
    </row>
    <row r="8" spans="1:9" ht="15.75" customHeight="1" x14ac:dyDescent="0.25">
      <c r="A8" s="69">
        <f t="shared" si="3"/>
        <v>2027</v>
      </c>
      <c r="B8" s="36">
        <v>94103.47500000002</v>
      </c>
      <c r="C8" s="37">
        <v>265000</v>
      </c>
      <c r="D8" s="37">
        <v>443000</v>
      </c>
      <c r="E8" s="37">
        <v>615000</v>
      </c>
      <c r="F8" s="37">
        <v>724000</v>
      </c>
      <c r="G8" s="9">
        <f t="shared" si="0"/>
        <v>2047000</v>
      </c>
      <c r="H8" s="9">
        <f t="shared" si="1"/>
        <v>107152.20097062907</v>
      </c>
      <c r="I8" s="9">
        <f t="shared" si="2"/>
        <v>1939847.799029371</v>
      </c>
    </row>
    <row r="9" spans="1:9" ht="15.75" customHeight="1" x14ac:dyDescent="0.25">
      <c r="A9" s="69">
        <f t="shared" si="3"/>
        <v>2028</v>
      </c>
      <c r="B9" s="36">
        <v>92457.450000000012</v>
      </c>
      <c r="C9" s="37">
        <v>272000</v>
      </c>
      <c r="D9" s="37">
        <v>449000</v>
      </c>
      <c r="E9" s="37">
        <v>582000</v>
      </c>
      <c r="F9" s="37">
        <v>732000</v>
      </c>
      <c r="G9" s="9">
        <f t="shared" si="0"/>
        <v>2035000</v>
      </c>
      <c r="H9" s="9">
        <f t="shared" si="1"/>
        <v>105277.93222972783</v>
      </c>
      <c r="I9" s="9">
        <f t="shared" si="2"/>
        <v>1929722.0677702723</v>
      </c>
    </row>
    <row r="10" spans="1:9" ht="15.75" customHeight="1" x14ac:dyDescent="0.25">
      <c r="A10" s="69">
        <f t="shared" si="3"/>
        <v>2029</v>
      </c>
      <c r="B10" s="36">
        <v>90800.435000000012</v>
      </c>
      <c r="C10" s="37">
        <v>277000</v>
      </c>
      <c r="D10" s="37">
        <v>458000</v>
      </c>
      <c r="E10" s="37">
        <v>551000</v>
      </c>
      <c r="F10" s="37">
        <v>737000</v>
      </c>
      <c r="G10" s="9">
        <f t="shared" si="0"/>
        <v>2023000</v>
      </c>
      <c r="H10" s="9">
        <f t="shared" si="1"/>
        <v>103391.14957593798</v>
      </c>
      <c r="I10" s="9">
        <f t="shared" si="2"/>
        <v>1919608.850424062</v>
      </c>
    </row>
    <row r="11" spans="1:9" ht="15.75" customHeight="1" x14ac:dyDescent="0.25">
      <c r="A11" s="69">
        <f t="shared" si="3"/>
        <v>2030</v>
      </c>
      <c r="B11" s="36">
        <v>89143</v>
      </c>
      <c r="C11" s="37">
        <v>280000</v>
      </c>
      <c r="D11" s="37">
        <v>468000</v>
      </c>
      <c r="E11" s="37">
        <v>524000</v>
      </c>
      <c r="F11" s="37">
        <v>736000</v>
      </c>
      <c r="G11" s="9">
        <f t="shared" si="0"/>
        <v>2008000</v>
      </c>
      <c r="H11" s="9">
        <f t="shared" si="1"/>
        <v>101503.88868343899</v>
      </c>
      <c r="I11" s="9">
        <f t="shared" si="2"/>
        <v>1906496.111316561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2937752.0703058303</v>
      </c>
      <c r="I12" s="9">
        <f t="shared" si="2"/>
        <v>15645916.92969417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2994685.2499629194</v>
      </c>
      <c r="I13" s="9">
        <f t="shared" si="2"/>
        <v>16179894.750037082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3063005.0655514277</v>
      </c>
      <c r="I14" s="9">
        <f t="shared" si="2"/>
        <v>16713250.934448572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3119938.2452085176</v>
      </c>
      <c r="I15" s="9">
        <f t="shared" si="2"/>
        <v>17266789.754791483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4.6480212285335547E-2</v>
      </c>
    </row>
    <row r="5" spans="1:8" ht="15.75" customHeight="1" x14ac:dyDescent="0.25">
      <c r="B5" s="11" t="s">
        <v>70</v>
      </c>
      <c r="C5" s="38">
        <v>2.603111562933276E-2</v>
      </c>
    </row>
    <row r="6" spans="1:8" ht="15.75" customHeight="1" x14ac:dyDescent="0.25">
      <c r="B6" s="11" t="s">
        <v>71</v>
      </c>
      <c r="C6" s="38">
        <v>0.10710612744221421</v>
      </c>
    </row>
    <row r="7" spans="1:8" ht="15.75" customHeight="1" x14ac:dyDescent="0.25">
      <c r="B7" s="11" t="s">
        <v>72</v>
      </c>
      <c r="C7" s="38">
        <v>0.38308882548127599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0.32581766099571069</v>
      </c>
    </row>
    <row r="10" spans="1:8" ht="15.75" customHeight="1" x14ac:dyDescent="0.25">
      <c r="B10" s="11" t="s">
        <v>75</v>
      </c>
      <c r="C10" s="38">
        <v>0.1114760581661306</v>
      </c>
    </row>
    <row r="11" spans="1:8" ht="15.75" customHeight="1" x14ac:dyDescent="0.25">
      <c r="B11" s="16" t="s">
        <v>30</v>
      </c>
      <c r="C11" s="98">
        <f>SUM(C3:C10)</f>
        <v>0.99999999999999967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8.9167621376999347E-3</v>
      </c>
      <c r="D14" s="38">
        <v>8.9167621376999347E-3</v>
      </c>
      <c r="E14" s="38">
        <v>8.9167621376999347E-3</v>
      </c>
      <c r="F14" s="38">
        <v>8.9167621376999347E-3</v>
      </c>
    </row>
    <row r="15" spans="1:8" ht="15.75" customHeight="1" x14ac:dyDescent="0.25">
      <c r="B15" s="11" t="s">
        <v>82</v>
      </c>
      <c r="C15" s="38">
        <v>7.2608640702391494E-2</v>
      </c>
      <c r="D15" s="38">
        <v>7.2608640702391494E-2</v>
      </c>
      <c r="E15" s="38">
        <v>7.2608640702391494E-2</v>
      </c>
      <c r="F15" s="38">
        <v>7.2608640702391494E-2</v>
      </c>
    </row>
    <row r="16" spans="1:8" ht="15.75" customHeight="1" x14ac:dyDescent="0.25">
      <c r="B16" s="11" t="s">
        <v>83</v>
      </c>
      <c r="C16" s="38">
        <v>1.5522003399499121E-2</v>
      </c>
      <c r="D16" s="38">
        <v>1.5522003399499121E-2</v>
      </c>
      <c r="E16" s="38">
        <v>1.5522003399499121E-2</v>
      </c>
      <c r="F16" s="38">
        <v>1.5522003399499121E-2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1.8957819536784611E-2</v>
      </c>
      <c r="D19" s="38">
        <v>1.8957819536784611E-2</v>
      </c>
      <c r="E19" s="38">
        <v>1.8957819536784611E-2</v>
      </c>
      <c r="F19" s="38">
        <v>1.8957819536784611E-2</v>
      </c>
    </row>
    <row r="20" spans="1:8" ht="15.75" customHeight="1" x14ac:dyDescent="0.25">
      <c r="B20" s="11" t="s">
        <v>87</v>
      </c>
      <c r="C20" s="38">
        <v>0.13435489756128691</v>
      </c>
      <c r="D20" s="38">
        <v>0.13435489756128691</v>
      </c>
      <c r="E20" s="38">
        <v>0.13435489756128691</v>
      </c>
      <c r="F20" s="38">
        <v>0.13435489756128691</v>
      </c>
    </row>
    <row r="21" spans="1:8" ht="15.75" customHeight="1" x14ac:dyDescent="0.25">
      <c r="B21" s="11" t="s">
        <v>88</v>
      </c>
      <c r="C21" s="38">
        <v>0.115809525482959</v>
      </c>
      <c r="D21" s="38">
        <v>0.115809525482959</v>
      </c>
      <c r="E21" s="38">
        <v>0.115809525482959</v>
      </c>
      <c r="F21" s="38">
        <v>0.115809525482959</v>
      </c>
    </row>
    <row r="22" spans="1:8" ht="15.75" customHeight="1" x14ac:dyDescent="0.25">
      <c r="B22" s="11" t="s">
        <v>89</v>
      </c>
      <c r="C22" s="38">
        <v>0.63383035117937891</v>
      </c>
      <c r="D22" s="38">
        <v>0.63383035117937891</v>
      </c>
      <c r="E22" s="38">
        <v>0.63383035117937891</v>
      </c>
      <c r="F22" s="38">
        <v>0.63383035117937891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5.5138011000000001E-2</v>
      </c>
    </row>
    <row r="27" spans="1:8" ht="15.75" customHeight="1" x14ac:dyDescent="0.25">
      <c r="B27" s="11" t="s">
        <v>92</v>
      </c>
      <c r="C27" s="38">
        <v>5.8021491999999987E-2</v>
      </c>
    </row>
    <row r="28" spans="1:8" ht="15.75" customHeight="1" x14ac:dyDescent="0.25">
      <c r="B28" s="11" t="s">
        <v>93</v>
      </c>
      <c r="C28" s="38">
        <v>0.12039119400000001</v>
      </c>
    </row>
    <row r="29" spans="1:8" ht="15.75" customHeight="1" x14ac:dyDescent="0.25">
      <c r="B29" s="11" t="s">
        <v>94</v>
      </c>
      <c r="C29" s="38">
        <v>0.13459314</v>
      </c>
    </row>
    <row r="30" spans="1:8" ht="15.75" customHeight="1" x14ac:dyDescent="0.25">
      <c r="B30" s="11" t="s">
        <v>95</v>
      </c>
      <c r="C30" s="38">
        <v>8.1866218000000004E-2</v>
      </c>
    </row>
    <row r="31" spans="1:8" ht="15.75" customHeight="1" x14ac:dyDescent="0.25">
      <c r="B31" s="11" t="s">
        <v>96</v>
      </c>
      <c r="C31" s="38">
        <v>6.5181787000000005E-2</v>
      </c>
    </row>
    <row r="32" spans="1:8" ht="15.75" customHeight="1" x14ac:dyDescent="0.25">
      <c r="B32" s="11" t="s">
        <v>97</v>
      </c>
      <c r="C32" s="38">
        <v>0.13227402499999999</v>
      </c>
    </row>
    <row r="33" spans="2:3" ht="15.75" customHeight="1" x14ac:dyDescent="0.25">
      <c r="B33" s="11" t="s">
        <v>98</v>
      </c>
      <c r="C33" s="38">
        <v>0.124908043</v>
      </c>
    </row>
    <row r="34" spans="2:3" ht="15.75" customHeight="1" x14ac:dyDescent="0.25">
      <c r="B34" s="11" t="s">
        <v>99</v>
      </c>
      <c r="C34" s="38">
        <v>0.22762609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0.63739771560093594</v>
      </c>
      <c r="D2" s="99">
        <f>IFERROR(1-_xlfn.NORM.DIST(_xlfn.NORM.INV(SUM(D4:D5), 0, 1) + 1, 0, 1, TRUE), "")</f>
        <v>0.63739771560093594</v>
      </c>
      <c r="E2" s="99">
        <f>IFERROR(1-_xlfn.NORM.DIST(_xlfn.NORM.INV(SUM(E4:E5), 0, 1) + 1, 0, 1, TRUE), "")</f>
        <v>0.70788254877315571</v>
      </c>
      <c r="F2" s="99">
        <f>IFERROR(1-_xlfn.NORM.DIST(_xlfn.NORM.INV(SUM(F4:F5), 0, 1) + 1, 0, 1, TRUE), "")</f>
        <v>0.77522167912424411</v>
      </c>
      <c r="G2" s="99">
        <f>IFERROR(1-_xlfn.NORM.DIST(_xlfn.NORM.INV(SUM(G4:G5), 0, 1) + 1, 0, 1, TRUE), "")</f>
        <v>0.78753164793855035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0.27433648168781566</v>
      </c>
      <c r="D3" s="99">
        <f>IFERROR(_xlfn.NORM.DIST(_xlfn.NORM.INV(SUM(D4:D5), 0, 1) + 1, 0, 1, TRUE) - SUM(D4:D5), "")</f>
        <v>0.27433648168781566</v>
      </c>
      <c r="E3" s="99">
        <f>IFERROR(_xlfn.NORM.DIST(_xlfn.NORM.INV(SUM(E4:E5), 0, 1) + 1, 0, 1, TRUE) - SUM(E4:E5), "")</f>
        <v>0.23121106708659114</v>
      </c>
      <c r="F3" s="99">
        <f>IFERROR(_xlfn.NORM.DIST(_xlfn.NORM.INV(SUM(F4:F5), 0, 1) + 1, 0, 1, TRUE) - SUM(F4:F5), "")</f>
        <v>0.18524729484020858</v>
      </c>
      <c r="G3" s="99">
        <f>IFERROR(_xlfn.NORM.DIST(_xlfn.NORM.INV(SUM(G4:G5), 0, 1) + 1, 0, 1, TRUE) - SUM(G4:G5), "")</f>
        <v>0.17637080688470522</v>
      </c>
    </row>
    <row r="4" spans="1:15" ht="15.75" customHeight="1" x14ac:dyDescent="0.25">
      <c r="B4" s="69" t="s">
        <v>104</v>
      </c>
      <c r="C4" s="39">
        <v>7.9701721668243394E-2</v>
      </c>
      <c r="D4" s="39">
        <v>7.9701721668243394E-2</v>
      </c>
      <c r="E4" s="39">
        <v>2.3631364107132E-2</v>
      </c>
      <c r="F4" s="39">
        <v>2.18412522226572E-2</v>
      </c>
      <c r="G4" s="39">
        <v>2.8631579130887999E-2</v>
      </c>
    </row>
    <row r="5" spans="1:15" ht="15.75" customHeight="1" x14ac:dyDescent="0.25">
      <c r="B5" s="69" t="s">
        <v>105</v>
      </c>
      <c r="C5" s="39">
        <v>8.5640810430049896E-3</v>
      </c>
      <c r="D5" s="39">
        <v>8.5640810430049896E-3</v>
      </c>
      <c r="E5" s="39">
        <v>3.7275020033121102E-2</v>
      </c>
      <c r="F5" s="39">
        <v>1.7689773812890101E-2</v>
      </c>
      <c r="G5" s="39">
        <v>7.4659660458564802E-3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0.65625799904397775</v>
      </c>
      <c r="D8" s="99">
        <f>IFERROR(1-_xlfn.NORM.DIST(_xlfn.NORM.INV(SUM(D10:D11), 0, 1) + 1, 0, 1, TRUE), "")</f>
        <v>0.65625799904397775</v>
      </c>
      <c r="E8" s="99">
        <f>IFERROR(1-_xlfn.NORM.DIST(_xlfn.NORM.INV(SUM(E10:E11), 0, 1) + 1, 0, 1, TRUE), "")</f>
        <v>0.86735111675932408</v>
      </c>
      <c r="F8" s="99">
        <f>IFERROR(1-_xlfn.NORM.DIST(_xlfn.NORM.INV(SUM(F10:F11), 0, 1) + 1, 0, 1, TRUE), "")</f>
        <v>0.96277363059099486</v>
      </c>
      <c r="G8" s="99">
        <f>IFERROR(1-_xlfn.NORM.DIST(_xlfn.NORM.INV(SUM(G10:G11), 0, 1) + 1, 0, 1, TRUE), "")</f>
        <v>0.85710593658923317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0.26332495276995849</v>
      </c>
      <c r="D9" s="99">
        <f>IFERROR(_xlfn.NORM.DIST(_xlfn.NORM.INV(SUM(D10:D11), 0, 1) + 1, 0, 1, TRUE) - SUM(D10:D11), "")</f>
        <v>0.26332495276995849</v>
      </c>
      <c r="E9" s="99">
        <f>IFERROR(_xlfn.NORM.DIST(_xlfn.NORM.INV(SUM(E10:E11), 0, 1) + 1, 0, 1, TRUE) - SUM(E10:E11), "")</f>
        <v>0.11538940001503223</v>
      </c>
      <c r="F9" s="99">
        <f>IFERROR(_xlfn.NORM.DIST(_xlfn.NORM.INV(SUM(F10:F11), 0, 1) + 1, 0, 1, TRUE) - SUM(F10:F11), "")</f>
        <v>3.4540236615690348E-2</v>
      </c>
      <c r="G9" s="99">
        <f>IFERROR(_xlfn.NORM.DIST(_xlfn.NORM.INV(SUM(G10:G11), 0, 1) + 1, 0, 1, TRUE) - SUM(G10:G11), "")</f>
        <v>0.12354614984751533</v>
      </c>
    </row>
    <row r="10" spans="1:15" ht="15.75" customHeight="1" x14ac:dyDescent="0.25">
      <c r="B10" s="69" t="s">
        <v>109</v>
      </c>
      <c r="C10" s="39">
        <v>6.0291364789009101E-2</v>
      </c>
      <c r="D10" s="39">
        <v>6.0291364789009101E-2</v>
      </c>
      <c r="E10" s="39">
        <v>1.05341020971537E-2</v>
      </c>
      <c r="F10" s="39">
        <v>1.4062162954360199E-3</v>
      </c>
      <c r="G10" s="39">
        <v>1.3514756225049499E-2</v>
      </c>
    </row>
    <row r="11" spans="1:15" ht="15.75" customHeight="1" x14ac:dyDescent="0.25">
      <c r="B11" s="69" t="s">
        <v>110</v>
      </c>
      <c r="C11" s="39">
        <v>2.01256833970547E-2</v>
      </c>
      <c r="D11" s="39">
        <v>2.01256833970547E-2</v>
      </c>
      <c r="E11" s="39">
        <v>6.7253811284899703E-3</v>
      </c>
      <c r="F11" s="39">
        <v>1.2799164978787301E-3</v>
      </c>
      <c r="G11" s="39">
        <v>5.8331573382019997E-3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0.24705571949999999</v>
      </c>
      <c r="D14" s="40">
        <v>0.22576595799400001</v>
      </c>
      <c r="E14" s="40">
        <v>0.22576595799400001</v>
      </c>
      <c r="F14" s="40">
        <v>9.01791644541E-2</v>
      </c>
      <c r="G14" s="40">
        <v>9.01791644541E-2</v>
      </c>
      <c r="H14" s="41">
        <v>0.24099999999999999</v>
      </c>
      <c r="I14" s="41">
        <v>0.24099999999999999</v>
      </c>
      <c r="J14" s="41">
        <v>0.24099999999999999</v>
      </c>
      <c r="K14" s="41">
        <v>0.24099999999999999</v>
      </c>
      <c r="L14" s="41">
        <v>0.22600000000000001</v>
      </c>
      <c r="M14" s="41">
        <v>0.22600000000000001</v>
      </c>
      <c r="N14" s="41">
        <v>0.22600000000000001</v>
      </c>
      <c r="O14" s="41">
        <v>0.22600000000000001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0.15971658154235999</v>
      </c>
      <c r="D15" s="99">
        <f t="shared" si="0"/>
        <v>0.14595317652396111</v>
      </c>
      <c r="E15" s="99">
        <f t="shared" si="0"/>
        <v>0.14595317652396111</v>
      </c>
      <c r="F15" s="99">
        <f t="shared" si="0"/>
        <v>5.8299026236286564E-2</v>
      </c>
      <c r="G15" s="99">
        <f t="shared" si="0"/>
        <v>5.8299026236286564E-2</v>
      </c>
      <c r="H15" s="99">
        <f t="shared" si="0"/>
        <v>0.15580167999999997</v>
      </c>
      <c r="I15" s="99">
        <f t="shared" si="0"/>
        <v>0.15580167999999997</v>
      </c>
      <c r="J15" s="99">
        <f t="shared" si="0"/>
        <v>0.15580167999999997</v>
      </c>
      <c r="K15" s="99">
        <f t="shared" si="0"/>
        <v>0.15580167999999997</v>
      </c>
      <c r="L15" s="99">
        <f t="shared" si="0"/>
        <v>0.14610447999999998</v>
      </c>
      <c r="M15" s="99">
        <f t="shared" si="0"/>
        <v>0.14610447999999998</v>
      </c>
      <c r="N15" s="99">
        <f t="shared" si="0"/>
        <v>0.14610447999999998</v>
      </c>
      <c r="O15" s="99">
        <f t="shared" si="0"/>
        <v>0.14610447999999998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0.32364046573638899</v>
      </c>
      <c r="D2" s="39">
        <v>0.14429939999999999</v>
      </c>
      <c r="E2" s="39"/>
      <c r="F2" s="39"/>
      <c r="G2" s="39"/>
    </row>
    <row r="3" spans="1:7" x14ac:dyDescent="0.25">
      <c r="B3" s="78" t="s">
        <v>120</v>
      </c>
      <c r="C3" s="39">
        <v>0.25219285488128701</v>
      </c>
      <c r="D3" s="39">
        <v>0.2360535</v>
      </c>
      <c r="E3" s="39"/>
      <c r="F3" s="39"/>
      <c r="G3" s="39"/>
    </row>
    <row r="4" spans="1:7" x14ac:dyDescent="0.25">
      <c r="B4" s="78" t="s">
        <v>121</v>
      </c>
      <c r="C4" s="39">
        <v>0.242077842354775</v>
      </c>
      <c r="D4" s="39">
        <v>0.26666339999999999</v>
      </c>
      <c r="E4" s="39">
        <v>0.41328838467597989</v>
      </c>
      <c r="F4" s="39">
        <v>0.17384156584739699</v>
      </c>
      <c r="G4" s="39"/>
    </row>
    <row r="5" spans="1:7" x14ac:dyDescent="0.25">
      <c r="B5" s="78" t="s">
        <v>122</v>
      </c>
      <c r="C5" s="100">
        <v>0.18208883702754999</v>
      </c>
      <c r="D5" s="100">
        <v>0.35298365354538003</v>
      </c>
      <c r="E5" s="100">
        <f>1-E2-E3-E4</f>
        <v>0.58671161532402016</v>
      </c>
      <c r="F5" s="100">
        <f>1-F2-F3-F4</f>
        <v>0.82615843415260304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0.7725346431936021</v>
      </c>
      <c r="C2" s="43">
        <v>0.95</v>
      </c>
      <c r="D2" s="86">
        <v>63.421848665062683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40.000995134003318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498.94277630498448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12.853065365559271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0.23939070586376199</v>
      </c>
      <c r="C10" s="43">
        <v>0.95</v>
      </c>
      <c r="D10" s="86">
        <v>13.13329457779923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0.23939070586376199</v>
      </c>
      <c r="C11" s="43">
        <v>0.95</v>
      </c>
      <c r="D11" s="86">
        <v>13.13329457779923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0.23939070586376199</v>
      </c>
      <c r="C12" s="43">
        <v>0.95</v>
      </c>
      <c r="D12" s="86">
        <v>13.13329457779923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0.23939070586376199</v>
      </c>
      <c r="C13" s="43">
        <v>0.95</v>
      </c>
      <c r="D13" s="86">
        <v>13.13329457779923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0.23939070586376199</v>
      </c>
      <c r="C14" s="43">
        <v>0.95</v>
      </c>
      <c r="D14" s="86">
        <v>13.13329457779923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0.23939070586376199</v>
      </c>
      <c r="C15" s="43">
        <v>0.95</v>
      </c>
      <c r="D15" s="86">
        <v>13.13329457779923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0.84006037769458042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11.47697383223603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11.47697383223603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0.99904859999999995</v>
      </c>
      <c r="C21" s="43">
        <v>0.95</v>
      </c>
      <c r="D21" s="86">
        <v>134.72675449417599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22.72737563050903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4.355034620978258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0.25253850605939998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0.18670979754929501</v>
      </c>
      <c r="C27" s="43">
        <v>0.95</v>
      </c>
      <c r="D27" s="86">
        <v>18.696975825051741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0.97790951975028406</v>
      </c>
      <c r="C29" s="43">
        <v>0.95</v>
      </c>
      <c r="D29" s="86">
        <v>125.9554584200983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0.8476197124550896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0.33461540220000002</v>
      </c>
      <c r="C32" s="43">
        <v>0.95</v>
      </c>
      <c r="D32" s="86">
        <v>1.8161937938239601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0.55986999999999998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2.018253434489619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0.92902491058475212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2.8</v>
      </c>
      <c r="C2" s="13">
        <f>'Données pop de l''année de ref'!C52</f>
        <v>2.8</v>
      </c>
      <c r="D2" s="13">
        <f>'Données pop de l''année de ref'!C53</f>
        <v>2.8</v>
      </c>
      <c r="E2" s="13">
        <f>'Données pop de l''année de ref'!C54</f>
        <v>2.8</v>
      </c>
      <c r="F2" s="13">
        <f>'Données pop de l''année de ref'!C55</f>
        <v>2.8</v>
      </c>
    </row>
    <row r="3" spans="1:6" ht="15.75" customHeight="1" x14ac:dyDescent="0.25">
      <c r="A3" s="78" t="s">
        <v>203</v>
      </c>
      <c r="B3" s="13">
        <f>frac_mam_1month * 2.6</f>
        <v>0.15675754845142367</v>
      </c>
      <c r="C3" s="13">
        <f>frac_mam_1_5months * 2.6</f>
        <v>0.15675754845142367</v>
      </c>
      <c r="D3" s="13">
        <f>frac_mam_6_11months * 2.6</f>
        <v>2.7388665452599621E-2</v>
      </c>
      <c r="E3" s="13">
        <f>frac_mam_12_23months * 2.6</f>
        <v>3.6561623681336517E-3</v>
      </c>
      <c r="F3" s="13">
        <f>frac_mam_24_59months * 2.6</f>
        <v>3.5138366185128701E-2</v>
      </c>
    </row>
    <row r="4" spans="1:6" ht="15.75" customHeight="1" x14ac:dyDescent="0.25">
      <c r="A4" s="78" t="s">
        <v>204</v>
      </c>
      <c r="B4" s="13">
        <f>frac_sam_1month * 2.6</f>
        <v>5.2326776832342221E-2</v>
      </c>
      <c r="C4" s="13">
        <f>frac_sam_1_5months * 2.6</f>
        <v>5.2326776832342221E-2</v>
      </c>
      <c r="D4" s="13">
        <f>frac_sam_6_11months * 2.6</f>
        <v>1.7485990934073922E-2</v>
      </c>
      <c r="E4" s="13">
        <f>frac_sam_12_23months * 2.6</f>
        <v>3.3277828944846982E-3</v>
      </c>
      <c r="F4" s="13">
        <f>frac_sam_24_59months * 2.6</f>
        <v>1.5166209079325199E-2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</v>
      </c>
      <c r="E2" s="47">
        <f>food_insecure</f>
        <v>0</v>
      </c>
      <c r="F2" s="47">
        <f>food_insecure</f>
        <v>0</v>
      </c>
      <c r="G2" s="47">
        <f>food_insecure</f>
        <v>0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</v>
      </c>
      <c r="F5" s="47">
        <f>food_insecure</f>
        <v>0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4.6000000000000006E-2</v>
      </c>
      <c r="D7" s="47">
        <f>diarrhoea_1_5mo*frac_diarrhea_severe</f>
        <v>4.6000000000000006E-2</v>
      </c>
      <c r="E7" s="47">
        <f>diarrhoea_6_11mo*frac_diarrhea_severe</f>
        <v>4.6000000000000006E-2</v>
      </c>
      <c r="F7" s="47">
        <f>diarrhoea_12_23mo*frac_diarrhea_severe</f>
        <v>4.6000000000000006E-2</v>
      </c>
      <c r="G7" s="47">
        <f>diarrhoea_24_59mo*frac_diarrhea_severe</f>
        <v>4.6000000000000006E-2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</v>
      </c>
      <c r="F8" s="47">
        <f>food_insecure</f>
        <v>0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</v>
      </c>
      <c r="F9" s="47">
        <f>food_insecure</f>
        <v>0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0.93400000000000005</v>
      </c>
      <c r="E10" s="47">
        <f>IF(ISBLANK(comm_deliv), frac_children_health_facility,1)</f>
        <v>0.93400000000000005</v>
      </c>
      <c r="F10" s="47">
        <f>IF(ISBLANK(comm_deliv), frac_children_health_facility,1)</f>
        <v>0.93400000000000005</v>
      </c>
      <c r="G10" s="47">
        <f>IF(ISBLANK(comm_deliv), frac_children_health_facility,1)</f>
        <v>0.93400000000000005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4.6000000000000006E-2</v>
      </c>
      <c r="D12" s="47">
        <f>diarrhoea_1_5mo*frac_diarrhea_severe</f>
        <v>4.6000000000000006E-2</v>
      </c>
      <c r="E12" s="47">
        <f>diarrhoea_6_11mo*frac_diarrhea_severe</f>
        <v>4.6000000000000006E-2</v>
      </c>
      <c r="F12" s="47">
        <f>diarrhoea_12_23mo*frac_diarrhea_severe</f>
        <v>4.6000000000000006E-2</v>
      </c>
      <c r="G12" s="47">
        <f>diarrhoea_24_59mo*frac_diarrhea_severe</f>
        <v>4.6000000000000006E-2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</v>
      </c>
      <c r="I15" s="47">
        <f>food_insecure</f>
        <v>0</v>
      </c>
      <c r="J15" s="47">
        <f>food_insecure</f>
        <v>0</v>
      </c>
      <c r="K15" s="47">
        <f>food_insecure</f>
        <v>0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0.997</v>
      </c>
      <c r="I18" s="47">
        <f>frac_PW_health_facility</f>
        <v>0.997</v>
      </c>
      <c r="J18" s="47">
        <f>frac_PW_health_facility</f>
        <v>0.997</v>
      </c>
      <c r="K18" s="47">
        <f>frac_PW_health_facility</f>
        <v>0.997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0.25800000000000001</v>
      </c>
      <c r="M24" s="47">
        <f>famplan_unmet_need</f>
        <v>0.25800000000000001</v>
      </c>
      <c r="N24" s="47">
        <f>famplan_unmet_need</f>
        <v>0.25800000000000001</v>
      </c>
      <c r="O24" s="47">
        <f>famplan_unmet_need</f>
        <v>0.25800000000000001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1.7663656616211092E-2</v>
      </c>
      <c r="M25" s="47">
        <f>(1-food_insecure)*(0.49)+food_insecure*(0.7)</f>
        <v>0.49</v>
      </c>
      <c r="N25" s="47">
        <f>(1-food_insecure)*(0.49)+food_insecure*(0.7)</f>
        <v>0.49</v>
      </c>
      <c r="O25" s="47">
        <f>(1-food_insecure)*(0.49)+food_insecure*(0.7)</f>
        <v>0.49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7.5701385498047544E-3</v>
      </c>
      <c r="M26" s="47">
        <f>(1-food_insecure)*(0.21)+food_insecure*(0.3)</f>
        <v>0.21</v>
      </c>
      <c r="N26" s="47">
        <f>(1-food_insecure)*(0.21)+food_insecure*(0.3)</f>
        <v>0.21</v>
      </c>
      <c r="O26" s="47">
        <f>(1-food_insecure)*(0.21)+food_insecure*(0.3)</f>
        <v>0.21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1.0814483642578221E-2</v>
      </c>
      <c r="M27" s="47">
        <f>(1-food_insecure)*(0.3)</f>
        <v>0.3</v>
      </c>
      <c r="N27" s="47">
        <f>(1-food_insecure)*(0.3)</f>
        <v>0.3</v>
      </c>
      <c r="O27" s="47">
        <f>(1-food_insecure)*(0.3)</f>
        <v>0.3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0.96395172119140593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2023-01-25T03:22:16Z</dcterms:modified>
</cp:coreProperties>
</file>