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F850C0A7-C81D-4DA8-9F87-4B598118C20A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<sst xmlns="http://schemas.openxmlformats.org/spreadsheetml/2006/main" count="1109" uniqueCount="272">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</sst>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4524014</v>
      </c>
    </row>
    <row r="8" spans="1:3" ht="15" customHeight="1">
      <c r="B8" s="7" t="s">
        <v>106</v>
      </c>
      <c r="C8" s="66">
        <v>6.2E-2</v>
      </c>
    </row>
    <row r="9" spans="1:3" ht="15" customHeight="1">
      <c r="B9" s="9" t="s">
        <v>107</v>
      </c>
      <c r="C9" s="67">
        <v>0.23780000000000001</v>
      </c>
    </row>
    <row r="10" spans="1:3" ht="15" customHeight="1">
      <c r="B10" s="9" t="s">
        <v>105</v>
      </c>
      <c r="C10" s="67">
        <v>0.61964199066162107</v>
      </c>
    </row>
    <row r="11" spans="1:3" ht="15" customHeight="1">
      <c r="B11" s="7" t="s">
        <v>108</v>
      </c>
      <c r="C11" s="66">
        <v>0.58599999999999997</v>
      </c>
    </row>
    <row r="12" spans="1:3" ht="15" customHeight="1">
      <c r="B12" s="7" t="s">
        <v>109</v>
      </c>
      <c r="C12" s="66">
        <v>0.58200000000000007</v>
      </c>
    </row>
    <row r="13" spans="1:3" ht="15" customHeight="1">
      <c r="B13" s="7" t="s">
        <v>110</v>
      </c>
      <c r="C13" s="66">
        <v>0.25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7.2599999999999998E-2</v>
      </c>
    </row>
    <row r="24" spans="1:3" ht="15" customHeight="1">
      <c r="B24" s="20" t="s">
        <v>102</v>
      </c>
      <c r="C24" s="67">
        <v>0.47549999999999998</v>
      </c>
    </row>
    <row r="25" spans="1:3" ht="15" customHeight="1">
      <c r="B25" s="20" t="s">
        <v>103</v>
      </c>
      <c r="C25" s="67">
        <v>0.37380000000000002</v>
      </c>
    </row>
    <row r="26" spans="1:3" ht="15" customHeight="1">
      <c r="B26" s="20" t="s">
        <v>104</v>
      </c>
      <c r="C26" s="67">
        <v>7.8100000000000003E-2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0.218</v>
      </c>
    </row>
    <row r="30" spans="1:3" ht="14.25" customHeight="1">
      <c r="B30" s="30" t="s">
        <v>76</v>
      </c>
      <c r="C30" s="69">
        <v>7.4999999999999997E-2</v>
      </c>
    </row>
    <row r="31" spans="1:3" ht="14.25" customHeight="1">
      <c r="B31" s="30" t="s">
        <v>77</v>
      </c>
      <c r="C31" s="69">
        <v>0.11900000000000001</v>
      </c>
    </row>
    <row r="32" spans="1:3" ht="14.25" customHeight="1">
      <c r="B32" s="30" t="s">
        <v>78</v>
      </c>
      <c r="C32" s="69">
        <v>0.58800000001490116</v>
      </c>
    </row>
    <row r="33" spans="1:5" ht="13.2">
      <c r="B33" s="32" t="s">
        <v>129</v>
      </c>
      <c r="C33" s="91">
        <f>SUM(C29:C32)</f>
        <v>1.0000000000149012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24.1</v>
      </c>
    </row>
    <row r="38" spans="1:5" ht="15" customHeight="1">
      <c r="B38" s="16" t="s">
        <v>91</v>
      </c>
      <c r="C38" s="68">
        <v>38.5</v>
      </c>
      <c r="D38" s="17"/>
      <c r="E38" s="18"/>
    </row>
    <row r="39" spans="1:5" ht="15" customHeight="1">
      <c r="B39" s="16" t="s">
        <v>90</v>
      </c>
      <c r="C39" s="68">
        <v>48.6</v>
      </c>
      <c r="D39" s="17"/>
      <c r="E39" s="17"/>
    </row>
    <row r="40" spans="1:5" ht="15" customHeight="1">
      <c r="B40" s="16" t="s">
        <v>171</v>
      </c>
      <c r="C40" s="68">
        <v>1.78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20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2.76E-2</v>
      </c>
      <c r="D45" s="17"/>
    </row>
    <row r="46" spans="1:5" ht="15.75" customHeight="1">
      <c r="B46" s="16" t="s">
        <v>11</v>
      </c>
      <c r="C46" s="67">
        <v>9.6199999999999994E-2</v>
      </c>
      <c r="D46" s="17"/>
    </row>
    <row r="47" spans="1:5" ht="15.75" customHeight="1">
      <c r="B47" s="16" t="s">
        <v>12</v>
      </c>
      <c r="C47" s="67">
        <v>0.29309999999999997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0.58310000000000017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2.3852974352649898</v>
      </c>
      <c r="D51" s="17"/>
    </row>
    <row r="52" spans="1:4" ht="15" customHeight="1">
      <c r="B52" s="16" t="s">
        <v>125</v>
      </c>
      <c r="C52" s="65">
        <v>2.3146142467800002</v>
      </c>
    </row>
    <row r="53" spans="1:4" ht="15.75" customHeight="1">
      <c r="B53" s="16" t="s">
        <v>126</v>
      </c>
      <c r="C53" s="65">
        <v>2.3146142467800002</v>
      </c>
    </row>
    <row r="54" spans="1:4" ht="15.75" customHeight="1">
      <c r="B54" s="16" t="s">
        <v>127</v>
      </c>
      <c r="C54" s="65">
        <v>1.6670658655599999</v>
      </c>
    </row>
    <row r="55" spans="1:4" ht="15.75" customHeight="1">
      <c r="B55" s="16" t="s">
        <v>128</v>
      </c>
      <c r="C55" s="65">
        <v>1.6670658655599999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2.1759475900795508E-2</v>
      </c>
    </row>
    <row r="59" spans="1:4" ht="15.75" customHeight="1">
      <c r="B59" s="16" t="s">
        <v>132</v>
      </c>
      <c r="C59" s="66">
        <v>0.5349591597151282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951003</v>
      </c>
      <c r="C2" s="75">
        <v>2571000</v>
      </c>
      <c r="D2" s="75">
        <v>4636000</v>
      </c>
      <c r="E2" s="75">
        <v>4130000</v>
      </c>
      <c r="F2" s="75">
        <v>3727000</v>
      </c>
      <c r="G2" s="22">
        <f t="shared" ref="G2:G40" si="0">C2+D2+E2+F2</f>
        <v>15064000</v>
      </c>
      <c r="H2" s="22">
        <f t="shared" ref="H2:H40" si="1">(B2 + stillbirth*B2/(1000-stillbirth))/(1-abortion)</f>
        <v>1115415.200562984</v>
      </c>
      <c r="I2" s="22">
        <f>G2-H2</f>
        <v>13948584.799437016</v>
      </c>
    </row>
    <row r="3" spans="1:9" ht="15.75" customHeight="1">
      <c r="A3" s="92">
        <f t="shared" ref="A3:A40" si="2">IF($A$2+ROW(A3)-2&lt;=end_year,A2+1,"")</f>
        <v>2020</v>
      </c>
      <c r="B3" s="74">
        <v>942657</v>
      </c>
      <c r="C3" s="75">
        <v>2559000</v>
      </c>
      <c r="D3" s="75">
        <v>4698000</v>
      </c>
      <c r="E3" s="75">
        <v>4157000</v>
      </c>
      <c r="F3" s="75">
        <v>3765000</v>
      </c>
      <c r="G3" s="22">
        <f t="shared" si="0"/>
        <v>15179000</v>
      </c>
      <c r="H3" s="22">
        <f t="shared" si="1"/>
        <v>1105626.3194933145</v>
      </c>
      <c r="I3" s="22">
        <f t="shared" ref="I3:I15" si="3">G3-H3</f>
        <v>14073373.680506686</v>
      </c>
    </row>
    <row r="4" spans="1:9" ht="15.75" customHeight="1">
      <c r="A4" s="92">
        <f t="shared" si="2"/>
        <v>2021</v>
      </c>
      <c r="B4" s="74">
        <v>935096</v>
      </c>
      <c r="C4" s="75">
        <v>2528000</v>
      </c>
      <c r="D4" s="75">
        <v>4764000</v>
      </c>
      <c r="E4" s="75">
        <v>4187000</v>
      </c>
      <c r="F4" s="75">
        <v>3802000</v>
      </c>
      <c r="G4" s="22">
        <f t="shared" si="0"/>
        <v>15281000</v>
      </c>
      <c r="H4" s="22">
        <f t="shared" si="1"/>
        <v>1096758.1515364766</v>
      </c>
      <c r="I4" s="22">
        <f t="shared" si="3"/>
        <v>14184241.848463524</v>
      </c>
    </row>
    <row r="5" spans="1:9" ht="15.75" customHeight="1">
      <c r="A5" s="92">
        <f t="shared" si="2"/>
        <v>2022</v>
      </c>
      <c r="B5" s="74">
        <v>938108.44240000017</v>
      </c>
      <c r="C5" s="75">
        <v>2484000</v>
      </c>
      <c r="D5" s="75">
        <v>4830000</v>
      </c>
      <c r="E5" s="75">
        <v>4221000</v>
      </c>
      <c r="F5" s="75">
        <v>3835000</v>
      </c>
      <c r="G5" s="22">
        <f t="shared" si="0"/>
        <v>15370000</v>
      </c>
      <c r="H5" s="22">
        <f t="shared" si="1"/>
        <v>1100291.3938540935</v>
      </c>
      <c r="I5" s="22">
        <f t="shared" si="3"/>
        <v>14269708.606145907</v>
      </c>
    </row>
    <row r="6" spans="1:9" ht="15.75" customHeight="1">
      <c r="A6" s="92" t="str">
        <f t="shared" si="2"/>
        <v/>
      </c>
      <c r="B6" s="74">
        <v>936912.63060000038</v>
      </c>
      <c r="C6" s="75">
        <v>2436000</v>
      </c>
      <c r="D6" s="75">
        <v>4886000</v>
      </c>
      <c r="E6" s="75">
        <v>4258000</v>
      </c>
      <c r="F6" s="75">
        <v>3865000</v>
      </c>
      <c r="G6" s="22">
        <f t="shared" si="0"/>
        <v>15445000</v>
      </c>
      <c r="H6" s="22">
        <f t="shared" si="1"/>
        <v>1098888.846586911</v>
      </c>
      <c r="I6" s="22">
        <f t="shared" si="3"/>
        <v>14346111.153413089</v>
      </c>
    </row>
    <row r="7" spans="1:9" ht="15.75" customHeight="1">
      <c r="A7" s="92" t="str">
        <f t="shared" si="2"/>
        <v/>
      </c>
      <c r="B7" s="74">
        <v>935443.41100000008</v>
      </c>
      <c r="C7" s="75">
        <v>2392000</v>
      </c>
      <c r="D7" s="75">
        <v>4925000</v>
      </c>
      <c r="E7" s="75">
        <v>4297000</v>
      </c>
      <c r="F7" s="75">
        <v>3892000</v>
      </c>
      <c r="G7" s="22">
        <f t="shared" si="0"/>
        <v>15506000</v>
      </c>
      <c r="H7" s="22">
        <f t="shared" si="1"/>
        <v>1097165.6239737275</v>
      </c>
      <c r="I7" s="22">
        <f t="shared" si="3"/>
        <v>14408834.376026273</v>
      </c>
    </row>
    <row r="8" spans="1:9" ht="15.75" customHeight="1">
      <c r="A8" s="92" t="str">
        <f t="shared" si="2"/>
        <v/>
      </c>
      <c r="B8" s="74">
        <v>932636.93200000003</v>
      </c>
      <c r="C8" s="75">
        <v>2351000</v>
      </c>
      <c r="D8" s="75">
        <v>4952000</v>
      </c>
      <c r="E8" s="75">
        <v>4341000</v>
      </c>
      <c r="F8" s="75">
        <v>3916000</v>
      </c>
      <c r="G8" s="22">
        <f t="shared" si="0"/>
        <v>15560000</v>
      </c>
      <c r="H8" s="22">
        <f t="shared" si="1"/>
        <v>1093873.9526155291</v>
      </c>
      <c r="I8" s="22">
        <f t="shared" si="3"/>
        <v>14466126.047384471</v>
      </c>
    </row>
    <row r="9" spans="1:9" ht="15.75" customHeight="1">
      <c r="A9" s="92" t="str">
        <f t="shared" si="2"/>
        <v/>
      </c>
      <c r="B9" s="74">
        <v>929501.87579999992</v>
      </c>
      <c r="C9" s="75">
        <v>2311000</v>
      </c>
      <c r="D9" s="75">
        <v>4964000</v>
      </c>
      <c r="E9" s="75">
        <v>4386000</v>
      </c>
      <c r="F9" s="75">
        <v>3939000</v>
      </c>
      <c r="G9" s="22">
        <f t="shared" si="0"/>
        <v>15600000</v>
      </c>
      <c r="H9" s="22">
        <f t="shared" si="1"/>
        <v>1090196.8986629134</v>
      </c>
      <c r="I9" s="22">
        <f t="shared" si="3"/>
        <v>14509803.101337086</v>
      </c>
    </row>
    <row r="10" spans="1:9" ht="15.75" customHeight="1">
      <c r="A10" s="92" t="str">
        <f t="shared" si="2"/>
        <v/>
      </c>
      <c r="B10" s="74">
        <v>926044.2111999999</v>
      </c>
      <c r="C10" s="75">
        <v>2276000</v>
      </c>
      <c r="D10" s="75">
        <v>4960000</v>
      </c>
      <c r="E10" s="75">
        <v>4433000</v>
      </c>
      <c r="F10" s="75">
        <v>3960000</v>
      </c>
      <c r="G10" s="22">
        <f t="shared" si="0"/>
        <v>15629000</v>
      </c>
      <c r="H10" s="22">
        <f t="shared" si="1"/>
        <v>1086141.4628196105</v>
      </c>
      <c r="I10" s="22">
        <f t="shared" si="3"/>
        <v>14542858.53718039</v>
      </c>
    </row>
    <row r="11" spans="1:9" ht="15.75" customHeight="1">
      <c r="A11" s="92" t="str">
        <f t="shared" si="2"/>
        <v/>
      </c>
      <c r="B11" s="74">
        <v>922222.66359999985</v>
      </c>
      <c r="C11" s="75">
        <v>2246000</v>
      </c>
      <c r="D11" s="75">
        <v>4939000</v>
      </c>
      <c r="E11" s="75">
        <v>4485000</v>
      </c>
      <c r="F11" s="75">
        <v>3984000</v>
      </c>
      <c r="G11" s="22">
        <f t="shared" si="0"/>
        <v>15654000</v>
      </c>
      <c r="H11" s="22">
        <f t="shared" si="1"/>
        <v>1081659.2348111656</v>
      </c>
      <c r="I11" s="22">
        <f t="shared" si="3"/>
        <v>14572340.765188834</v>
      </c>
    </row>
    <row r="12" spans="1:9" ht="15.75" customHeight="1">
      <c r="A12" s="92" t="str">
        <f t="shared" si="2"/>
        <v/>
      </c>
      <c r="B12" s="74">
        <v>918029.11199999996</v>
      </c>
      <c r="C12" s="75">
        <v>2223000</v>
      </c>
      <c r="D12" s="75">
        <v>4900000</v>
      </c>
      <c r="E12" s="75">
        <v>4542000</v>
      </c>
      <c r="F12" s="75">
        <v>4009000</v>
      </c>
      <c r="G12" s="22">
        <f t="shared" si="0"/>
        <v>15674000</v>
      </c>
      <c r="H12" s="22">
        <f t="shared" si="1"/>
        <v>1076740.6896551724</v>
      </c>
      <c r="I12" s="22">
        <f t="shared" si="3"/>
        <v>14597259.310344828</v>
      </c>
    </row>
    <row r="13" spans="1:9" ht="15.75" customHeight="1">
      <c r="A13" s="92" t="str">
        <f t="shared" si="2"/>
        <v/>
      </c>
      <c r="B13" s="74">
        <v>2564000</v>
      </c>
      <c r="C13" s="75">
        <v>4577000</v>
      </c>
      <c r="D13" s="75">
        <v>4105000</v>
      </c>
      <c r="E13" s="75">
        <v>3680000</v>
      </c>
      <c r="F13" s="75">
        <v>2.6879714999999992E-2</v>
      </c>
      <c r="G13" s="22">
        <f t="shared" si="0"/>
        <v>12362000.026879715</v>
      </c>
      <c r="H13" s="22">
        <f t="shared" si="1"/>
        <v>3007271.8742669481</v>
      </c>
      <c r="I13" s="22">
        <f t="shared" si="3"/>
        <v>9354728.1526127663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2.6879714999999992E-2</v>
      </c>
    </row>
    <row r="4" spans="1:8" ht="15.75" customHeight="1">
      <c r="B4" s="24" t="s">
        <v>7</v>
      </c>
      <c r="C4" s="76">
        <v>0.14025685004313904</v>
      </c>
    </row>
    <row r="5" spans="1:8" ht="15.75" customHeight="1">
      <c r="B5" s="24" t="s">
        <v>8</v>
      </c>
      <c r="C5" s="76">
        <v>0.1504609236578823</v>
      </c>
    </row>
    <row r="6" spans="1:8" ht="15.75" customHeight="1">
      <c r="B6" s="24" t="s">
        <v>10</v>
      </c>
      <c r="C6" s="76">
        <v>0.11161772154851962</v>
      </c>
    </row>
    <row r="7" spans="1:8" ht="15.75" customHeight="1">
      <c r="B7" s="24" t="s">
        <v>13</v>
      </c>
      <c r="C7" s="76">
        <v>0.1940480394671277</v>
      </c>
    </row>
    <row r="8" spans="1:8" ht="15.75" customHeight="1">
      <c r="B8" s="24" t="s">
        <v>14</v>
      </c>
      <c r="C8" s="76">
        <v>1.8245371133766535E-3</v>
      </c>
    </row>
    <row r="9" spans="1:8" ht="15.75" customHeight="1">
      <c r="B9" s="24" t="s">
        <v>27</v>
      </c>
      <c r="C9" s="76">
        <v>0.18179024982026401</v>
      </c>
    </row>
    <row r="10" spans="1:8" ht="15.75" customHeight="1">
      <c r="B10" s="24" t="s">
        <v>15</v>
      </c>
      <c r="C10" s="76">
        <v>0.19312196334969067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9.7892183309247288E-2</v>
      </c>
      <c r="D14" s="76">
        <v>9.7892183309247288E-2</v>
      </c>
      <c r="E14" s="76">
        <v>7.9660060613350195E-2</v>
      </c>
      <c r="F14" s="76">
        <v>7.9660060613350195E-2</v>
      </c>
    </row>
    <row r="15" spans="1:8" ht="15.75" customHeight="1">
      <c r="B15" s="24" t="s">
        <v>16</v>
      </c>
      <c r="C15" s="76">
        <v>0.30751225310476199</v>
      </c>
      <c r="D15" s="76">
        <v>0.30751225310476199</v>
      </c>
      <c r="E15" s="76">
        <v>0.158873380541285</v>
      </c>
      <c r="F15" s="76">
        <v>0.158873380541285</v>
      </c>
    </row>
    <row r="16" spans="1:8" ht="15.75" customHeight="1">
      <c r="B16" s="24" t="s">
        <v>17</v>
      </c>
      <c r="C16" s="76">
        <v>5.1474314668951603E-2</v>
      </c>
      <c r="D16" s="76">
        <v>5.1474314668951603E-2</v>
      </c>
      <c r="E16" s="76">
        <v>4.3830843374711298E-2</v>
      </c>
      <c r="F16" s="76">
        <v>4.3830843374711298E-2</v>
      </c>
    </row>
    <row r="17" spans="1:8" ht="15.75" customHeight="1">
      <c r="B17" s="24" t="s">
        <v>18</v>
      </c>
      <c r="C17" s="76">
        <v>3.3409596980141496E-3</v>
      </c>
      <c r="D17" s="76">
        <v>3.3409596980141496E-3</v>
      </c>
      <c r="E17" s="76">
        <v>1.7649542293752901E-2</v>
      </c>
      <c r="F17" s="76">
        <v>1.7649542293752901E-2</v>
      </c>
    </row>
    <row r="18" spans="1:8" ht="15.75" customHeight="1">
      <c r="B18" s="24" t="s">
        <v>19</v>
      </c>
      <c r="C18" s="76">
        <v>1.7620119711303599E-2</v>
      </c>
      <c r="D18" s="76">
        <v>1.7620119711303599E-2</v>
      </c>
      <c r="E18" s="76">
        <v>2.7329121636381602E-2</v>
      </c>
      <c r="F18" s="76">
        <v>2.7329121636381602E-2</v>
      </c>
    </row>
    <row r="19" spans="1:8" ht="15.75" customHeight="1">
      <c r="B19" s="24" t="s">
        <v>20</v>
      </c>
      <c r="C19" s="76">
        <v>2.4940640270096699E-2</v>
      </c>
      <c r="D19" s="76">
        <v>2.4940640270096699E-2</v>
      </c>
      <c r="E19" s="76">
        <v>5.4726958698978499E-2</v>
      </c>
      <c r="F19" s="76">
        <v>5.4726958698978499E-2</v>
      </c>
    </row>
    <row r="20" spans="1:8" ht="15.75" customHeight="1">
      <c r="B20" s="24" t="s">
        <v>21</v>
      </c>
      <c r="C20" s="76">
        <v>6.6175766897465403E-3</v>
      </c>
      <c r="D20" s="76">
        <v>6.6175766897465403E-3</v>
      </c>
      <c r="E20" s="76">
        <v>2.9578014059303396E-3</v>
      </c>
      <c r="F20" s="76">
        <v>2.9578014059303396E-3</v>
      </c>
    </row>
    <row r="21" spans="1:8" ht="15.75" customHeight="1">
      <c r="B21" s="24" t="s">
        <v>22</v>
      </c>
      <c r="C21" s="76">
        <v>5.4740036349348792E-2</v>
      </c>
      <c r="D21" s="76">
        <v>5.4740036349348792E-2</v>
      </c>
      <c r="E21" s="76">
        <v>0.22872559914891799</v>
      </c>
      <c r="F21" s="76">
        <v>0.22872559914891799</v>
      </c>
    </row>
    <row r="22" spans="1:8" ht="15.75" customHeight="1">
      <c r="B22" s="24" t="s">
        <v>23</v>
      </c>
      <c r="C22" s="76">
        <v>0.43586191619852943</v>
      </c>
      <c r="D22" s="76">
        <v>0.43586191619852943</v>
      </c>
      <c r="E22" s="76">
        <v>0.38624669228669217</v>
      </c>
      <c r="F22" s="76">
        <v>0.38624669228669217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4.7899999999999998E-2</v>
      </c>
    </row>
    <row r="27" spans="1:8" ht="15.75" customHeight="1">
      <c r="B27" s="24" t="s">
        <v>39</v>
      </c>
      <c r="C27" s="76">
        <v>1.04E-2</v>
      </c>
    </row>
    <row r="28" spans="1:8" ht="15.75" customHeight="1">
      <c r="B28" s="24" t="s">
        <v>40</v>
      </c>
      <c r="C28" s="76">
        <v>0.26739999999999997</v>
      </c>
    </row>
    <row r="29" spans="1:8" ht="15.75" customHeight="1">
      <c r="B29" s="24" t="s">
        <v>41</v>
      </c>
      <c r="C29" s="76">
        <v>0.12529999999999999</v>
      </c>
    </row>
    <row r="30" spans="1:8" ht="15.75" customHeight="1">
      <c r="B30" s="24" t="s">
        <v>42</v>
      </c>
      <c r="C30" s="76">
        <v>7.0199999999999999E-2</v>
      </c>
    </row>
    <row r="31" spans="1:8" ht="15.75" customHeight="1">
      <c r="B31" s="24" t="s">
        <v>43</v>
      </c>
      <c r="C31" s="76">
        <v>8.14E-2</v>
      </c>
    </row>
    <row r="32" spans="1:8" ht="15.75" customHeight="1">
      <c r="B32" s="24" t="s">
        <v>44</v>
      </c>
      <c r="C32" s="76">
        <v>4.7699999999999992E-2</v>
      </c>
    </row>
    <row r="33" spans="2:3" ht="15.75" customHeight="1">
      <c r="B33" s="24" t="s">
        <v>45</v>
      </c>
      <c r="C33" s="76">
        <v>0.14779999999999999</v>
      </c>
    </row>
    <row r="34" spans="2:3" ht="15.75" customHeight="1">
      <c r="B34" s="24" t="s">
        <v>46</v>
      </c>
      <c r="C34" s="76">
        <v>0.20189999999776481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0.70633912154340828</v>
      </c>
      <c r="D2" s="77">
        <v>0.75709999999999988</v>
      </c>
      <c r="E2" s="77">
        <v>0.65450000000000008</v>
      </c>
      <c r="F2" s="77">
        <v>0.39950000000000002</v>
      </c>
      <c r="G2" s="77">
        <v>0.27639999999999998</v>
      </c>
    </row>
    <row r="3" spans="1:15" ht="15.75" customHeight="1">
      <c r="A3" s="5"/>
      <c r="B3" s="11" t="s">
        <v>118</v>
      </c>
      <c r="C3" s="77">
        <v>0.1641</v>
      </c>
      <c r="D3" s="77">
        <v>0.1641</v>
      </c>
      <c r="E3" s="77">
        <v>0.20449999999999999</v>
      </c>
      <c r="F3" s="77">
        <v>0.35749999999999998</v>
      </c>
      <c r="G3" s="77">
        <v>0.36030000000000001</v>
      </c>
    </row>
    <row r="4" spans="1:15" ht="15.75" customHeight="1">
      <c r="A4" s="5"/>
      <c r="B4" s="11" t="s">
        <v>116</v>
      </c>
      <c r="C4" s="78">
        <v>5.3499999999999999E-2</v>
      </c>
      <c r="D4" s="78">
        <v>5.3499999999999999E-2</v>
      </c>
      <c r="E4" s="78">
        <v>0.10210000000000001</v>
      </c>
      <c r="F4" s="78">
        <v>0.16589999999999999</v>
      </c>
      <c r="G4" s="78">
        <v>0.26229999999999998</v>
      </c>
    </row>
    <row r="5" spans="1:15" ht="15.75" customHeight="1">
      <c r="A5" s="5"/>
      <c r="B5" s="11" t="s">
        <v>119</v>
      </c>
      <c r="C5" s="78">
        <v>2.53E-2</v>
      </c>
      <c r="D5" s="78">
        <v>2.53E-2</v>
      </c>
      <c r="E5" s="78">
        <v>3.8800000000000001E-2</v>
      </c>
      <c r="F5" s="78">
        <v>7.7100000000000002E-2</v>
      </c>
      <c r="G5" s="78">
        <v>0.10099999999999999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0.68200000000000005</v>
      </c>
      <c r="D8" s="77">
        <v>0.68200000000000005</v>
      </c>
      <c r="E8" s="77">
        <v>0.67930000000000001</v>
      </c>
      <c r="F8" s="77">
        <v>0.67599999999999993</v>
      </c>
      <c r="G8" s="77">
        <v>0.70150000000000001</v>
      </c>
    </row>
    <row r="9" spans="1:15" ht="15.75" customHeight="1">
      <c r="B9" s="7" t="s">
        <v>121</v>
      </c>
      <c r="C9" s="77">
        <v>0.19219999999999998</v>
      </c>
      <c r="D9" s="77">
        <v>0.19219999999999998</v>
      </c>
      <c r="E9" s="77">
        <v>0.26329999999999998</v>
      </c>
      <c r="F9" s="77">
        <v>0.24350000000000002</v>
      </c>
      <c r="G9" s="77">
        <v>0.24340000000000001</v>
      </c>
    </row>
    <row r="10" spans="1:15" ht="15.75" customHeight="1">
      <c r="B10" s="7" t="s">
        <v>122</v>
      </c>
      <c r="C10" s="78">
        <v>8.7100000000000011E-2</v>
      </c>
      <c r="D10" s="78">
        <v>8.7100000000000011E-2</v>
      </c>
      <c r="E10" s="78">
        <v>5.4199999999999998E-2</v>
      </c>
      <c r="F10" s="78">
        <v>5.8600000000000006E-2</v>
      </c>
      <c r="G10" s="78">
        <v>4.6900000000000004E-2</v>
      </c>
    </row>
    <row r="11" spans="1:15" ht="15.75" customHeight="1">
      <c r="B11" s="7" t="s">
        <v>123</v>
      </c>
      <c r="C11" s="78">
        <v>3.8699999999999998E-2</v>
      </c>
      <c r="D11" s="78">
        <v>3.8699999999999998E-2</v>
      </c>
      <c r="E11" s="78">
        <v>3.2946999999999998E-3</v>
      </c>
      <c r="F11" s="78">
        <v>2.1899999999999999E-2</v>
      </c>
      <c r="G11" s="78">
        <v>8.2169000000000009E-3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0.53875706099999998</v>
      </c>
      <c r="D14" s="79">
        <v>0.52048943423000005</v>
      </c>
      <c r="E14" s="79">
        <v>0.52048943423000005</v>
      </c>
      <c r="F14" s="79">
        <v>0.341500033373</v>
      </c>
      <c r="G14" s="79">
        <v>0.341500033373</v>
      </c>
      <c r="H14" s="80">
        <v>0.53799999999999992</v>
      </c>
      <c r="I14" s="80">
        <v>0.53799999999999992</v>
      </c>
      <c r="J14" s="80">
        <v>0.53799999999999992</v>
      </c>
      <c r="K14" s="80">
        <v>0.53799999999999992</v>
      </c>
      <c r="L14" s="80">
        <v>0.46497999999999995</v>
      </c>
      <c r="M14" s="80">
        <v>0.46497999999999995</v>
      </c>
      <c r="N14" s="80">
        <v>0.46497999999999995</v>
      </c>
      <c r="O14" s="80">
        <v>0.46497999999999995</v>
      </c>
    </row>
    <row r="15" spans="1:15" ht="15.75" customHeight="1">
      <c r="B15" s="16" t="s">
        <v>68</v>
      </c>
      <c r="C15" s="77">
        <f t="shared" ref="C15:O15" si="0">iron_deficiency_anaemia*C14</f>
        <v>0.28821302464315207</v>
      </c>
      <c r="D15" s="77">
        <f t="shared" si="0"/>
        <v>0.27844059037628333</v>
      </c>
      <c r="E15" s="77">
        <f t="shared" si="0"/>
        <v>0.27844059037628333</v>
      </c>
      <c r="F15" s="77">
        <f t="shared" si="0"/>
        <v>0.18268857089590831</v>
      </c>
      <c r="G15" s="77">
        <f t="shared" si="0"/>
        <v>0.18268857089590831</v>
      </c>
      <c r="H15" s="77">
        <f t="shared" si="0"/>
        <v>0.28780802792673893</v>
      </c>
      <c r="I15" s="77">
        <f t="shared" si="0"/>
        <v>0.28780802792673893</v>
      </c>
      <c r="J15" s="77">
        <f t="shared" si="0"/>
        <v>0.28780802792673893</v>
      </c>
      <c r="K15" s="77">
        <f t="shared" si="0"/>
        <v>0.28780802792673893</v>
      </c>
      <c r="L15" s="77">
        <f t="shared" si="0"/>
        <v>0.24874531008434028</v>
      </c>
      <c r="M15" s="77">
        <f t="shared" si="0"/>
        <v>0.24874531008434028</v>
      </c>
      <c r="N15" s="77">
        <f t="shared" si="0"/>
        <v>0.24874531008434028</v>
      </c>
      <c r="O15" s="77">
        <f t="shared" si="0"/>
        <v>0.24874531008434028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0.70660000000000001</v>
      </c>
      <c r="D2" s="78">
        <v>0.49109999999999998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0.16170000000000001</v>
      </c>
      <c r="D3" s="78">
        <v>0.21379999999999999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0.13170000000000001</v>
      </c>
      <c r="D4" s="78">
        <v>0.27550000000000002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</v>
      </c>
      <c r="D5" s="77">
        <f t="shared" ref="D5:G5" si="0">1-SUM(D2:D4)</f>
        <v>1.9600000000000062E-2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0.28899999999999998</v>
      </c>
      <c r="D2" s="28">
        <v>0.28970000000000001</v>
      </c>
      <c r="E2" s="28">
        <v>0.28949999999999998</v>
      </c>
      <c r="F2" s="28">
        <v>0.28949999999999998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6.7799999999999999E-2</v>
      </c>
      <c r="D4" s="28">
        <v>6.7600000000000007E-2</v>
      </c>
      <c r="E4" s="28">
        <v>6.7600000000000007E-2</v>
      </c>
      <c r="F4" s="28">
        <v>6.7600000000000007E-2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0.52048943423000005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0.53799999999999992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0.46497999999999995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0.49109999999999998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40.348999999999997</v>
      </c>
      <c r="D13" s="28">
        <v>38.682000000000002</v>
      </c>
      <c r="E13" s="28">
        <v>36.917000000000002</v>
      </c>
      <c r="F13" s="28">
        <v>35.293999999999997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1.78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39.222404520785908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54.737134105512624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119.55153720587505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0.72650555976092457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1.4030587089597073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1.4030587089597073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1.4030587089597073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1.4030587089597073</v>
      </c>
      <c r="E13" s="86" t="s">
        <v>201</v>
      </c>
    </row>
    <row r="14" spans="1:5" ht="15.75" customHeight="1">
      <c r="A14" s="11" t="s">
        <v>189</v>
      </c>
      <c r="B14" s="85">
        <v>0.59299999999999997</v>
      </c>
      <c r="C14" s="85">
        <v>0.95</v>
      </c>
      <c r="D14" s="86">
        <v>17.420883333006955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17.420883333006955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0.34694694397271492</v>
      </c>
      <c r="E17" s="86" t="s">
        <v>201</v>
      </c>
    </row>
    <row r="18" spans="1:5" ht="15.75" customHeight="1">
      <c r="A18" s="53" t="s">
        <v>175</v>
      </c>
      <c r="B18" s="85">
        <v>0.49099999999999999</v>
      </c>
      <c r="C18" s="85">
        <v>0.95</v>
      </c>
      <c r="D18" s="86">
        <v>2.8448355135048673</v>
      </c>
      <c r="E18" s="86" t="s">
        <v>201</v>
      </c>
    </row>
    <row r="19" spans="1:5" ht="15.75" customHeight="1">
      <c r="A19" s="53" t="s">
        <v>174</v>
      </c>
      <c r="B19" s="85">
        <v>0.248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6.2873932146726759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29.721241430461134</v>
      </c>
      <c r="E22" s="86" t="s">
        <v>201</v>
      </c>
    </row>
    <row r="23" spans="1:5" ht="15.75" customHeight="1">
      <c r="A23" s="53" t="s">
        <v>34</v>
      </c>
      <c r="B23" s="85">
        <v>0.26800000000000002</v>
      </c>
      <c r="C23" s="85">
        <v>0.95</v>
      </c>
      <c r="D23" s="86">
        <v>5.6963080880733798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25.150709521879183</v>
      </c>
      <c r="E24" s="86" t="s">
        <v>201</v>
      </c>
    </row>
    <row r="25" spans="1:5" ht="15.75" customHeight="1">
      <c r="A25" s="53" t="s">
        <v>87</v>
      </c>
      <c r="B25" s="85">
        <v>0.28300000000000003</v>
      </c>
      <c r="C25" s="85">
        <v>0.95</v>
      </c>
      <c r="D25" s="86">
        <v>25.146097133146249</v>
      </c>
      <c r="E25" s="86" t="s">
        <v>201</v>
      </c>
    </row>
    <row r="26" spans="1:5" ht="15.75" customHeight="1">
      <c r="A26" s="53" t="s">
        <v>137</v>
      </c>
      <c r="B26" s="85">
        <v>0.59299999999999997</v>
      </c>
      <c r="C26" s="85">
        <v>0.95</v>
      </c>
      <c r="D26" s="86">
        <v>5.7825145197971226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4.450242080317949</v>
      </c>
      <c r="E27" s="86" t="s">
        <v>201</v>
      </c>
    </row>
    <row r="28" spans="1:5" ht="15.75" customHeight="1">
      <c r="A28" s="53" t="s">
        <v>84</v>
      </c>
      <c r="B28" s="85">
        <v>0.61899999999999999</v>
      </c>
      <c r="C28" s="85">
        <v>0.95</v>
      </c>
      <c r="D28" s="86">
        <v>0.81090405630602469</v>
      </c>
      <c r="E28" s="86" t="s">
        <v>201</v>
      </c>
    </row>
    <row r="29" spans="1:5" ht="15.75" customHeight="1">
      <c r="A29" s="53" t="s">
        <v>58</v>
      </c>
      <c r="B29" s="85">
        <v>0.248</v>
      </c>
      <c r="C29" s="85">
        <v>0.95</v>
      </c>
      <c r="D29" s="86">
        <v>70.723861239789485</v>
      </c>
      <c r="E29" s="86" t="s">
        <v>201</v>
      </c>
    </row>
    <row r="30" spans="1:5" ht="15.75" customHeight="1">
      <c r="A30" s="53" t="s">
        <v>67</v>
      </c>
      <c r="B30" s="85">
        <v>3.5000000000000003E-2</v>
      </c>
      <c r="C30" s="85">
        <v>0.95</v>
      </c>
      <c r="D30" s="86">
        <v>183.44572433320783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183.44572433320783</v>
      </c>
      <c r="E31" s="86" t="s">
        <v>201</v>
      </c>
    </row>
    <row r="32" spans="1:5" ht="15.75" customHeight="1">
      <c r="A32" s="53" t="s">
        <v>28</v>
      </c>
      <c r="B32" s="85">
        <v>0.89</v>
      </c>
      <c r="C32" s="85">
        <v>0.95</v>
      </c>
      <c r="D32" s="86">
        <v>0.67793297191267776</v>
      </c>
      <c r="E32" s="86" t="s">
        <v>201</v>
      </c>
    </row>
    <row r="33" spans="1:6" ht="15.75" customHeight="1">
      <c r="A33" s="53" t="s">
        <v>83</v>
      </c>
      <c r="B33" s="85">
        <v>0.79900000000000004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0.42100000000000004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0.64300000000000002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0.81799999999999995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0.20100000000000001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8.4000000000000005E-2</v>
      </c>
      <c r="C38" s="85">
        <v>0.95</v>
      </c>
      <c r="D38" s="86">
        <v>2.3716149074679511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0.70726972133526633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2.3852974352649898</v>
      </c>
      <c r="C2" s="26">
        <f>'Baseline year population inputs'!C52</f>
        <v>2.3146142467800002</v>
      </c>
      <c r="D2" s="26">
        <f>'Baseline year population inputs'!C53</f>
        <v>2.3146142467800002</v>
      </c>
      <c r="E2" s="26">
        <f>'Baseline year population inputs'!C54</f>
        <v>1.6670658655599999</v>
      </c>
      <c r="F2" s="26">
        <f>'Baseline year population inputs'!C55</f>
        <v>1.6670658655599999</v>
      </c>
    </row>
    <row r="3" spans="1:6" ht="15.75" customHeight="1">
      <c r="A3" s="3" t="s">
        <v>65</v>
      </c>
      <c r="B3" s="26">
        <f>frac_mam_1month * 2.6</f>
        <v>0.22646000000000002</v>
      </c>
      <c r="C3" s="26">
        <f>frac_mam_1_5months * 2.6</f>
        <v>0.22646000000000002</v>
      </c>
      <c r="D3" s="26">
        <f>frac_mam_6_11months * 2.6</f>
        <v>0.14091999999999999</v>
      </c>
      <c r="E3" s="26">
        <f>frac_mam_12_23months * 2.6</f>
        <v>0.15236000000000002</v>
      </c>
      <c r="F3" s="26">
        <f>frac_mam_24_59months * 2.6</f>
        <v>0.12194000000000002</v>
      </c>
    </row>
    <row r="4" spans="1:6" ht="15.75" customHeight="1">
      <c r="A4" s="3" t="s">
        <v>66</v>
      </c>
      <c r="B4" s="26">
        <f>frac_sam_1month * 2.6</f>
        <v>0.10062</v>
      </c>
      <c r="C4" s="26">
        <f>frac_sam_1_5months * 2.6</f>
        <v>0.10062</v>
      </c>
      <c r="D4" s="26">
        <f>frac_sam_6_11months * 2.6</f>
        <v>8.5662199999999994E-3</v>
      </c>
      <c r="E4" s="26">
        <f>frac_sam_12_23months * 2.6</f>
        <v>5.6939999999999998E-2</v>
      </c>
      <c r="F4" s="26">
        <f>frac_sam_24_59months * 2.6</f>
        <v>2.1363940000000005E-2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6.2E-2</v>
      </c>
      <c r="E2" s="93">
        <f>food_insecure</f>
        <v>6.2E-2</v>
      </c>
      <c r="F2" s="93">
        <f>food_insecure</f>
        <v>6.2E-2</v>
      </c>
      <c r="G2" s="93">
        <f>food_insecure</f>
        <v>6.2E-2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6.2E-2</v>
      </c>
      <c r="F5" s="93">
        <f>food_insecure</f>
        <v>6.2E-2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2.3852974352649898</v>
      </c>
      <c r="D7" s="93">
        <f>diarrhoea_1_5mo</f>
        <v>2.3146142467800002</v>
      </c>
      <c r="E7" s="93">
        <f>diarrhoea_6_11mo</f>
        <v>2.3146142467800002</v>
      </c>
      <c r="F7" s="93">
        <f>diarrhoea_12_23mo</f>
        <v>1.6670658655599999</v>
      </c>
      <c r="G7" s="93">
        <f>diarrhoea_24_59mo</f>
        <v>1.6670658655599999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6.2E-2</v>
      </c>
      <c r="F8" s="93">
        <f>food_insecure</f>
        <v>6.2E-2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2.3852974352649898</v>
      </c>
      <c r="D12" s="93">
        <f>diarrhoea_1_5mo</f>
        <v>2.3146142467800002</v>
      </c>
      <c r="E12" s="93">
        <f>diarrhoea_6_11mo</f>
        <v>2.3146142467800002</v>
      </c>
      <c r="F12" s="93">
        <f>diarrhoea_12_23mo</f>
        <v>1.6670658655599999</v>
      </c>
      <c r="G12" s="93">
        <f>diarrhoea_24_59mo</f>
        <v>1.6670658655599999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6.2E-2</v>
      </c>
      <c r="I15" s="93">
        <f>food_insecure</f>
        <v>6.2E-2</v>
      </c>
      <c r="J15" s="93">
        <f>food_insecure</f>
        <v>6.2E-2</v>
      </c>
      <c r="K15" s="93">
        <f>food_insecure</f>
        <v>6.2E-2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0.58599999999999997</v>
      </c>
      <c r="I18" s="93">
        <f>frac_PW_health_facility</f>
        <v>0.58599999999999997</v>
      </c>
      <c r="J18" s="93">
        <f>frac_PW_health_facility</f>
        <v>0.58599999999999997</v>
      </c>
      <c r="K18" s="93">
        <f>frac_PW_health_facility</f>
        <v>0.58599999999999997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0.23780000000000001</v>
      </c>
      <c r="I19" s="93">
        <f>frac_malaria_risk</f>
        <v>0.23780000000000001</v>
      </c>
      <c r="J19" s="93">
        <f>frac_malaria_risk</f>
        <v>0.23780000000000001</v>
      </c>
      <c r="K19" s="93">
        <f>frac_malaria_risk</f>
        <v>0.23780000000000001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</v>
      </c>
      <c r="M24" s="93">
        <f>famplan_unmet_need</f>
        <v>0.25</v>
      </c>
      <c r="N24" s="93">
        <f>famplan_unmet_need</f>
        <v>0.25</v>
      </c>
      <c r="O24" s="93">
        <f>famplan_unmet_need</f>
        <v>0.25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0.19132768585739135</v>
      </c>
      <c r="M25" s="93">
        <f>(1-food_insecure)*(0.49)+food_insecure*(0.7)</f>
        <v>0.50302000000000002</v>
      </c>
      <c r="N25" s="93">
        <f>(1-food_insecure)*(0.49)+food_insecure*(0.7)</f>
        <v>0.50302000000000002</v>
      </c>
      <c r="O25" s="93">
        <f>(1-food_insecure)*(0.49)+food_insecure*(0.7)</f>
        <v>0.50302000000000002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8.1997579653167729E-2</v>
      </c>
      <c r="M26" s="93">
        <f>(1-food_insecure)*(0.21)+food_insecure*(0.3)</f>
        <v>0.21557999999999999</v>
      </c>
      <c r="N26" s="93">
        <f>(1-food_insecure)*(0.21)+food_insecure*(0.3)</f>
        <v>0.21557999999999999</v>
      </c>
      <c r="O26" s="93">
        <f>(1-food_insecure)*(0.21)+food_insecure*(0.3)</f>
        <v>0.21557999999999999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0.10703274382781983</v>
      </c>
      <c r="M27" s="93">
        <f>(1-food_insecure)*(0.3)</f>
        <v>0.28139999999999998</v>
      </c>
      <c r="N27" s="93">
        <f>(1-food_insecure)*(0.3)</f>
        <v>0.28139999999999998</v>
      </c>
      <c r="O27" s="93">
        <f>(1-food_insecure)*(0.3)</f>
        <v>0.28139999999999998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0.61964199066162107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0.23780000000000001</v>
      </c>
      <c r="D34" s="93">
        <f t="shared" si="3"/>
        <v>0.23780000000000001</v>
      </c>
      <c r="E34" s="93">
        <f t="shared" si="3"/>
        <v>0.23780000000000001</v>
      </c>
      <c r="F34" s="93">
        <f t="shared" si="3"/>
        <v>0.23780000000000001</v>
      </c>
      <c r="G34" s="93">
        <f t="shared" si="3"/>
        <v>0.23780000000000001</v>
      </c>
      <c r="H34" s="93">
        <f t="shared" si="3"/>
        <v>0.23780000000000001</v>
      </c>
      <c r="I34" s="93">
        <f t="shared" si="3"/>
        <v>0.23780000000000001</v>
      </c>
      <c r="J34" s="93">
        <f t="shared" si="3"/>
        <v>0.23780000000000001</v>
      </c>
      <c r="K34" s="93">
        <f t="shared" si="3"/>
        <v>0.23780000000000001</v>
      </c>
      <c r="L34" s="93">
        <f t="shared" si="3"/>
        <v>0.23780000000000001</v>
      </c>
      <c r="M34" s="93">
        <f t="shared" si="3"/>
        <v>0.23780000000000001</v>
      </c>
      <c r="N34" s="93">
        <f t="shared" si="3"/>
        <v>0.23780000000000001</v>
      </c>
      <c r="O34" s="93">
        <f t="shared" si="3"/>
        <v>0.23780000000000001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2020-08-29T00:01:51Z</dcterms:modified>
</cp:coreProperties>
</file>