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DDC1EFE-8DD7-4863-80EF-9DC5104E6645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<sst xmlns="http://schemas.openxmlformats.org/spreadsheetml/2006/main" count="1109" uniqueCount="272">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</sst>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295030</v>
      </c>
    </row>
    <row r="8" spans="1:3" ht="15" customHeight="1">
      <c r="B8" s="7" t="s">
        <v>106</v>
      </c>
      <c r="C8" s="66">
        <v>0.28399999999999997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0.64900000000000002</v>
      </c>
    </row>
    <row r="12" spans="1:3" ht="15" customHeight="1">
      <c r="B12" s="7" t="s">
        <v>109</v>
      </c>
      <c r="C12" s="66">
        <v>0.34299999999999997</v>
      </c>
    </row>
    <row r="13" spans="1:3" ht="15" customHeight="1">
      <c r="B13" s="7" t="s">
        <v>110</v>
      </c>
      <c r="C13" s="66">
        <v>0.624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9.4700000000000006E-2</v>
      </c>
    </row>
    <row r="24" spans="1:3" ht="15" customHeight="1">
      <c r="B24" s="20" t="s">
        <v>102</v>
      </c>
      <c r="C24" s="67">
        <v>0.47560000000000002</v>
      </c>
    </row>
    <row r="25" spans="1:3" ht="15" customHeight="1">
      <c r="B25" s="20" t="s">
        <v>103</v>
      </c>
      <c r="C25" s="67">
        <v>0.35119999999999996</v>
      </c>
    </row>
    <row r="26" spans="1:3" ht="15" customHeight="1">
      <c r="B26" s="20" t="s">
        <v>104</v>
      </c>
      <c r="C26" s="67">
        <v>7.85E-2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0.245</v>
      </c>
    </row>
    <row r="30" spans="1:3" ht="14.25" customHeight="1">
      <c r="B30" s="30" t="s">
        <v>76</v>
      </c>
      <c r="C30" s="69">
        <v>7.0999999999999994E-2</v>
      </c>
    </row>
    <row r="31" spans="1:3" ht="14.25" customHeight="1">
      <c r="B31" s="30" t="s">
        <v>77</v>
      </c>
      <c r="C31" s="69">
        <v>0.13400000000000001</v>
      </c>
    </row>
    <row r="32" spans="1:3" ht="14.25" customHeight="1">
      <c r="B32" s="30" t="s">
        <v>78</v>
      </c>
      <c r="C32" s="69">
        <v>0.55000000000000004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37.299999999999997</v>
      </c>
    </row>
    <row r="38" spans="1:5" ht="15" customHeight="1">
      <c r="B38" s="16" t="s">
        <v>91</v>
      </c>
      <c r="C38" s="68">
        <v>55.6</v>
      </c>
      <c r="D38" s="17"/>
      <c r="E38" s="18"/>
    </row>
    <row r="39" spans="1:5" ht="15" customHeight="1">
      <c r="B39" s="16" t="s">
        <v>90</v>
      </c>
      <c r="C39" s="68">
        <v>84.2</v>
      </c>
      <c r="D39" s="17"/>
      <c r="E39" s="17"/>
    </row>
    <row r="40" spans="1:5" ht="15" customHeight="1">
      <c r="B40" s="16" t="s">
        <v>171</v>
      </c>
      <c r="C40" s="68">
        <v>5.49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36.700000000000003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1.7899999999999999E-2</v>
      </c>
      <c r="D45" s="17"/>
    </row>
    <row r="46" spans="1:5" ht="15.75" customHeight="1">
      <c r="B46" s="16" t="s">
        <v>11</v>
      </c>
      <c r="C46" s="67">
        <v>9.4299999999999995E-2</v>
      </c>
      <c r="D46" s="17"/>
    </row>
    <row r="47" spans="1:5" ht="15.75" customHeight="1">
      <c r="B47" s="16" t="s">
        <v>12</v>
      </c>
      <c r="C47" s="67">
        <v>0.37280000000000002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0.5149999999999999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2.818231479095</v>
      </c>
      <c r="D51" s="17"/>
    </row>
    <row r="52" spans="1:4" ht="15" customHeight="1">
      <c r="B52" s="16" t="s">
        <v>125</v>
      </c>
      <c r="C52" s="65">
        <v>2.67245499754</v>
      </c>
    </row>
    <row r="53" spans="1:4" ht="15.75" customHeight="1">
      <c r="B53" s="16" t="s">
        <v>126</v>
      </c>
      <c r="C53" s="65">
        <v>2.67245499754</v>
      </c>
    </row>
    <row r="54" spans="1:4" ht="15.75" customHeight="1">
      <c r="B54" s="16" t="s">
        <v>127</v>
      </c>
      <c r="C54" s="65">
        <v>1.8461936846999998</v>
      </c>
    </row>
    <row r="55" spans="1:4" ht="15.75" customHeight="1">
      <c r="B55" s="16" t="s">
        <v>128</v>
      </c>
      <c r="C55" s="65">
        <v>1.8461936846999998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0.44372425104161517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2.818231479095</v>
      </c>
      <c r="C2" s="26">
        <f>'Baseline year population inputs'!C52</f>
        <v>2.67245499754</v>
      </c>
      <c r="D2" s="26">
        <f>'Baseline year population inputs'!C53</f>
        <v>2.67245499754</v>
      </c>
      <c r="E2" s="26">
        <f>'Baseline year population inputs'!C54</f>
        <v>1.8461936846999998</v>
      </c>
      <c r="F2" s="26">
        <f>'Baseline year population inputs'!C55</f>
        <v>1.8461936846999998</v>
      </c>
    </row>
    <row r="3" spans="1:6" ht="15.75" customHeight="1">
      <c r="A3" s="3" t="s">
        <v>65</v>
      </c>
      <c r="B3" s="26">
        <f>frac_mam_1month * 2.6</f>
        <v>0.12454</v>
      </c>
      <c r="C3" s="26">
        <f>frac_mam_1_5months * 2.6</f>
        <v>0.12454</v>
      </c>
      <c r="D3" s="26">
        <f>frac_mam_6_11months * 2.6</f>
        <v>0.11596000000000001</v>
      </c>
      <c r="E3" s="26">
        <f>frac_mam_12_23months * 2.6</f>
        <v>0.16796000000000003</v>
      </c>
      <c r="F3" s="26">
        <f>frac_mam_24_59months * 2.6</f>
        <v>0.10296</v>
      </c>
    </row>
    <row r="4" spans="1:6" ht="15.75" customHeight="1">
      <c r="A4" s="3" t="s">
        <v>66</v>
      </c>
      <c r="B4" s="26">
        <f>frac_sam_1month * 2.6</f>
        <v>6.1879999999999998E-2</v>
      </c>
      <c r="C4" s="26">
        <f>frac_sam_1_5months * 2.6</f>
        <v>6.1879999999999998E-2</v>
      </c>
      <c r="D4" s="26">
        <f>frac_sam_6_11months * 2.6</f>
        <v>5.4339999999999999E-2</v>
      </c>
      <c r="E4" s="26">
        <f>frac_sam_12_23months * 2.6</f>
        <v>3.9780000000000003E-2</v>
      </c>
      <c r="F4" s="26">
        <f>frac_sam_24_59months * 2.6</f>
        <v>2.8340000000000001E-2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0.28399999999999997</v>
      </c>
      <c r="E2" s="93">
        <f>food_insecure</f>
        <v>0.28399999999999997</v>
      </c>
      <c r="F2" s="93">
        <f>food_insecure</f>
        <v>0.28399999999999997</v>
      </c>
      <c r="G2" s="93">
        <f>food_insecure</f>
        <v>0.28399999999999997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0.28399999999999997</v>
      </c>
      <c r="F5" s="93">
        <f>food_insecure</f>
        <v>0.28399999999999997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2.818231479095</v>
      </c>
      <c r="D7" s="93">
        <f>diarrhoea_1_5mo</f>
        <v>2.67245499754</v>
      </c>
      <c r="E7" s="93">
        <f>diarrhoea_6_11mo</f>
        <v>2.67245499754</v>
      </c>
      <c r="F7" s="93">
        <f>diarrhoea_12_23mo</f>
        <v>1.8461936846999998</v>
      </c>
      <c r="G7" s="93">
        <f>diarrhoea_24_59mo</f>
        <v>1.8461936846999998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0.28399999999999997</v>
      </c>
      <c r="F8" s="93">
        <f>food_insecure</f>
        <v>0.28399999999999997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2.818231479095</v>
      </c>
      <c r="D12" s="93">
        <f>diarrhoea_1_5mo</f>
        <v>2.67245499754</v>
      </c>
      <c r="E12" s="93">
        <f>diarrhoea_6_11mo</f>
        <v>2.67245499754</v>
      </c>
      <c r="F12" s="93">
        <f>diarrhoea_12_23mo</f>
        <v>1.8461936846999998</v>
      </c>
      <c r="G12" s="93">
        <f>diarrhoea_24_59mo</f>
        <v>1.8461936846999998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0.28399999999999997</v>
      </c>
      <c r="I15" s="93">
        <f>food_insecure</f>
        <v>0.28399999999999997</v>
      </c>
      <c r="J15" s="93">
        <f>food_insecure</f>
        <v>0.28399999999999997</v>
      </c>
      <c r="K15" s="93">
        <f>food_insecure</f>
        <v>0.28399999999999997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0.64900000000000002</v>
      </c>
      <c r="I18" s="93">
        <f>frac_PW_health_facility</f>
        <v>0.64900000000000002</v>
      </c>
      <c r="J18" s="93">
        <f>frac_PW_health_facility</f>
        <v>0.64900000000000002</v>
      </c>
      <c r="K18" s="93">
        <f>frac_PW_health_facility</f>
        <v>0.64900000000000002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0.624</v>
      </c>
      <c r="M24" s="93">
        <f>famplan_unmet_need</f>
        <v>0.624</v>
      </c>
      <c r="N24" s="93">
        <f>famplan_unmet_need</f>
        <v>0.624</v>
      </c>
      <c r="O24" s="93">
        <f>famplan_unmet_need</f>
        <v>0.624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0.37043910601588792</v>
      </c>
      <c r="M25" s="93">
        <f>(1-food_insecure)*(0.49)+food_insecure*(0.7)</f>
        <v>0.54963999999999991</v>
      </c>
      <c r="N25" s="93">
        <f>(1-food_insecure)*(0.49)+food_insecure*(0.7)</f>
        <v>0.54963999999999991</v>
      </c>
      <c r="O25" s="93">
        <f>(1-food_insecure)*(0.49)+food_insecure*(0.7)</f>
        <v>0.54963999999999991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0.15875961686395196</v>
      </c>
      <c r="M26" s="93">
        <f>(1-food_insecure)*(0.21)+food_insecure*(0.3)</f>
        <v>0.23555999999999999</v>
      </c>
      <c r="N26" s="93">
        <f>(1-food_insecure)*(0.21)+food_insecure*(0.3)</f>
        <v>0.23555999999999999</v>
      </c>
      <c r="O26" s="93">
        <f>(1-food_insecure)*(0.21)+food_insecure*(0.3)</f>
        <v>0.23555999999999999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0.14476806632015998</v>
      </c>
      <c r="M27" s="93">
        <f>(1-food_insecure)*(0.3)</f>
        <v>0.21479999999999999</v>
      </c>
      <c r="N27" s="93">
        <f>(1-food_insecure)*(0.3)</f>
        <v>0.21479999999999999</v>
      </c>
      <c r="O27" s="93">
        <f>(1-food_insecure)*(0.3)</f>
        <v>0.21479999999999999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67747</v>
      </c>
      <c r="C2" s="75">
        <v>103000</v>
      </c>
      <c r="D2" s="75">
        <v>175000</v>
      </c>
      <c r="E2" s="75">
        <v>135000</v>
      </c>
      <c r="F2" s="75">
        <v>86000</v>
      </c>
      <c r="G2" s="22">
        <f t="shared" ref="G2:G40" si="0">C2+D2+E2+F2</f>
        <v>499000</v>
      </c>
      <c r="H2" s="22">
        <f t="shared" ref="H2:H40" si="1">(B2 + stillbirth*B2/(1000-stillbirth))/(1-abortion)</f>
        <v>80836.826474129295</v>
      </c>
      <c r="I2" s="22">
        <f>G2-H2</f>
        <v>418163.17352587072</v>
      </c>
    </row>
    <row r="3" spans="1:9" ht="15.75" customHeight="1">
      <c r="A3" s="92">
        <f t="shared" ref="A3:A40" si="2">IF($A$2+ROW(A3)-2&lt;=end_year,A2+1,"")</f>
        <v>2021</v>
      </c>
      <c r="B3" s="74">
        <v>68792</v>
      </c>
      <c r="C3" s="75">
        <v>105000</v>
      </c>
      <c r="D3" s="75">
        <v>178000</v>
      </c>
      <c r="E3" s="75">
        <v>139000</v>
      </c>
      <c r="F3" s="75">
        <v>90000</v>
      </c>
      <c r="G3" s="22">
        <f t="shared" si="0"/>
        <v>512000</v>
      </c>
      <c r="H3" s="22">
        <f t="shared" si="1"/>
        <v>82083.737535363936</v>
      </c>
      <c r="I3" s="22">
        <f t="shared" ref="I3:I15" si="3">G3-H3</f>
        <v>429916.26246463606</v>
      </c>
    </row>
    <row r="4" spans="1:9" ht="15.75" customHeight="1">
      <c r="A4" s="92">
        <f t="shared" si="2"/>
        <v>2022</v>
      </c>
      <c r="B4" s="74" t="e">
        <v>#N/A</v>
      </c>
      <c r="C4" s="75">
        <v>108000</v>
      </c>
      <c r="D4" s="75">
        <v>180000</v>
      </c>
      <c r="E4" s="75">
        <v>143000</v>
      </c>
      <c r="F4" s="75">
        <v>93000</v>
      </c>
      <c r="G4" s="22">
        <f t="shared" si="0"/>
        <v>524000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69867.38559999998</v>
      </c>
      <c r="C5" s="75">
        <v>112000</v>
      </c>
      <c r="D5" s="75">
        <v>183000</v>
      </c>
      <c r="E5" s="75">
        <v>147000</v>
      </c>
      <c r="F5" s="75">
        <v>98000</v>
      </c>
      <c r="G5" s="22">
        <f t="shared" si="0"/>
        <v>540000</v>
      </c>
      <c r="H5" s="22">
        <f t="shared" si="1"/>
        <v>83366.905190610312</v>
      </c>
      <c r="I5" s="22">
        <f t="shared" si="3"/>
        <v>456633.09480938967</v>
      </c>
    </row>
    <row r="6" spans="1:9" ht="15.75" customHeight="1">
      <c r="A6" s="92" t="str">
        <f t="shared" si="2"/>
        <v/>
      </c>
      <c r="B6" s="74">
        <v>70277.316599999962</v>
      </c>
      <c r="C6" s="75">
        <v>115000</v>
      </c>
      <c r="D6" s="75">
        <v>186000</v>
      </c>
      <c r="E6" s="75">
        <v>150000</v>
      </c>
      <c r="F6" s="75">
        <v>102000</v>
      </c>
      <c r="G6" s="22">
        <f t="shared" si="0"/>
        <v>553000</v>
      </c>
      <c r="H6" s="22">
        <f t="shared" si="1"/>
        <v>83856.041552565308</v>
      </c>
      <c r="I6" s="22">
        <f t="shared" si="3"/>
        <v>469143.95844743471</v>
      </c>
    </row>
    <row r="7" spans="1:9" ht="15.75" customHeight="1">
      <c r="A7" s="92" t="str">
        <f t="shared" si="2"/>
        <v/>
      </c>
      <c r="B7" s="74">
        <v>70634.210000000006</v>
      </c>
      <c r="C7" s="75">
        <v>118000</v>
      </c>
      <c r="D7" s="75">
        <v>190000</v>
      </c>
      <c r="E7" s="75">
        <v>154000</v>
      </c>
      <c r="F7" s="75">
        <v>106000</v>
      </c>
      <c r="G7" s="22">
        <f t="shared" si="0"/>
        <v>568000</v>
      </c>
      <c r="H7" s="22">
        <f t="shared" si="1"/>
        <v>84281.892584279864</v>
      </c>
      <c r="I7" s="22">
        <f t="shared" si="3"/>
        <v>483718.10741572012</v>
      </c>
    </row>
    <row r="8" spans="1:9" ht="15.75" customHeight="1">
      <c r="A8" s="92" t="str">
        <f t="shared" si="2"/>
        <v/>
      </c>
      <c r="B8" s="74">
        <v>71196.032400000011</v>
      </c>
      <c r="C8" s="75">
        <v>121000</v>
      </c>
      <c r="D8" s="75">
        <v>194000</v>
      </c>
      <c r="E8" s="75">
        <v>156000</v>
      </c>
      <c r="F8" s="75">
        <v>110000</v>
      </c>
      <c r="G8" s="22">
        <f t="shared" si="0"/>
        <v>581000</v>
      </c>
      <c r="H8" s="22">
        <f t="shared" si="1"/>
        <v>84952.268244575956</v>
      </c>
      <c r="I8" s="22">
        <f t="shared" si="3"/>
        <v>496047.73175542406</v>
      </c>
    </row>
    <row r="9" spans="1:9" ht="15.75" customHeight="1">
      <c r="A9" s="92" t="str">
        <f t="shared" si="2"/>
        <v/>
      </c>
      <c r="B9" s="74">
        <v>71746.499799999991</v>
      </c>
      <c r="C9" s="75">
        <v>124000</v>
      </c>
      <c r="D9" s="75">
        <v>199000</v>
      </c>
      <c r="E9" s="75">
        <v>159000</v>
      </c>
      <c r="F9" s="75">
        <v>115000</v>
      </c>
      <c r="G9" s="22">
        <f t="shared" si="0"/>
        <v>597000</v>
      </c>
      <c r="H9" s="22">
        <f t="shared" si="1"/>
        <v>85609.094933484143</v>
      </c>
      <c r="I9" s="22">
        <f t="shared" si="3"/>
        <v>511390.90506651584</v>
      </c>
    </row>
    <row r="10" spans="1:9" ht="15.75" customHeight="1">
      <c r="A10" s="92" t="str">
        <f t="shared" si="2"/>
        <v/>
      </c>
      <c r="B10" s="74">
        <v>72254.107199999999</v>
      </c>
      <c r="C10" s="75">
        <v>128000</v>
      </c>
      <c r="D10" s="75">
        <v>204000</v>
      </c>
      <c r="E10" s="75">
        <v>162000</v>
      </c>
      <c r="F10" s="75">
        <v>119000</v>
      </c>
      <c r="G10" s="22">
        <f t="shared" si="0"/>
        <v>613000</v>
      </c>
      <c r="H10" s="22">
        <f t="shared" si="1"/>
        <v>86214.780370636858</v>
      </c>
      <c r="I10" s="22">
        <f t="shared" si="3"/>
        <v>526785.21962936316</v>
      </c>
    </row>
    <row r="11" spans="1:9" ht="15.75" customHeight="1">
      <c r="A11" s="92" t="str">
        <f t="shared" si="2"/>
        <v/>
      </c>
      <c r="B11" s="74">
        <v>72748.645199999999</v>
      </c>
      <c r="C11" s="75">
        <v>131000</v>
      </c>
      <c r="D11" s="75">
        <v>210000</v>
      </c>
      <c r="E11" s="75">
        <v>164000</v>
      </c>
      <c r="F11" s="75">
        <v>124000</v>
      </c>
      <c r="G11" s="22">
        <f t="shared" si="0"/>
        <v>629000</v>
      </c>
      <c r="H11" s="22">
        <f t="shared" si="1"/>
        <v>86804.871186331467</v>
      </c>
      <c r="I11" s="22">
        <f t="shared" si="3"/>
        <v>542195.1288136685</v>
      </c>
    </row>
    <row r="12" spans="1:9" ht="15.75" customHeight="1">
      <c r="A12" s="92" t="str">
        <f t="shared" si="2"/>
        <v/>
      </c>
      <c r="B12" s="74">
        <v>73199.466</v>
      </c>
      <c r="C12" s="75">
        <v>133000</v>
      </c>
      <c r="D12" s="75">
        <v>215000</v>
      </c>
      <c r="E12" s="75">
        <v>168000</v>
      </c>
      <c r="F12" s="75">
        <v>128000</v>
      </c>
      <c r="G12" s="22">
        <f t="shared" si="0"/>
        <v>644000</v>
      </c>
      <c r="H12" s="22">
        <f t="shared" si="1"/>
        <v>87342.797925235456</v>
      </c>
      <c r="I12" s="22">
        <f t="shared" si="3"/>
        <v>556657.20207476453</v>
      </c>
    </row>
    <row r="13" spans="1:9" ht="15.75" customHeight="1">
      <c r="A13" s="92" t="str">
        <f t="shared" si="2"/>
        <v/>
      </c>
      <c r="B13" s="74">
        <v>100000</v>
      </c>
      <c r="C13" s="75">
        <v>172000</v>
      </c>
      <c r="D13" s="75">
        <v>131000</v>
      </c>
      <c r="E13" s="75">
        <v>82000</v>
      </c>
      <c r="F13" s="75">
        <v>7.8132691749999997E-2</v>
      </c>
      <c r="G13" s="22">
        <f t="shared" si="0"/>
        <v>385000.07813269173</v>
      </c>
      <c r="H13" s="22">
        <f t="shared" si="1"/>
        <v>119321.63265403527</v>
      </c>
      <c r="I13" s="22">
        <f t="shared" si="3"/>
        <v>265678.44547865645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7.8132691749999997E-2</v>
      </c>
    </row>
    <row r="4" spans="1:8" ht="15.75" customHeight="1">
      <c r="B4" s="24" t="s">
        <v>7</v>
      </c>
      <c r="C4" s="76">
        <v>0.20086666037110271</v>
      </c>
    </row>
    <row r="5" spans="1:8" ht="15.75" customHeight="1">
      <c r="B5" s="24" t="s">
        <v>8</v>
      </c>
      <c r="C5" s="76">
        <v>9.1922227851977331E-2</v>
      </c>
    </row>
    <row r="6" spans="1:8" ht="15.75" customHeight="1">
      <c r="B6" s="24" t="s">
        <v>10</v>
      </c>
      <c r="C6" s="76">
        <v>0.1453247019271558</v>
      </c>
    </row>
    <row r="7" spans="1:8" ht="15.75" customHeight="1">
      <c r="B7" s="24" t="s">
        <v>13</v>
      </c>
      <c r="C7" s="76">
        <v>0.16962723264676124</v>
      </c>
    </row>
    <row r="8" spans="1:8" ht="15.75" customHeight="1">
      <c r="B8" s="24" t="s">
        <v>14</v>
      </c>
      <c r="C8" s="76">
        <v>9.6159546926502214E-3</v>
      </c>
    </row>
    <row r="9" spans="1:8" ht="15.75" customHeight="1">
      <c r="B9" s="24" t="s">
        <v>27</v>
      </c>
      <c r="C9" s="76">
        <v>7.738282904550163E-2</v>
      </c>
    </row>
    <row r="10" spans="1:8" ht="15.75" customHeight="1">
      <c r="B10" s="24" t="s">
        <v>15</v>
      </c>
      <c r="C10" s="76">
        <v>0.22712770171485108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0.25578119133875898</v>
      </c>
      <c r="D14" s="76">
        <v>0.25578119133875898</v>
      </c>
      <c r="E14" s="76">
        <v>0.2198768754854</v>
      </c>
      <c r="F14" s="76">
        <v>0.2198768754854</v>
      </c>
    </row>
    <row r="15" spans="1:8" ht="15.75" customHeight="1">
      <c r="B15" s="24" t="s">
        <v>16</v>
      </c>
      <c r="C15" s="76">
        <v>0.13061193334007501</v>
      </c>
      <c r="D15" s="76">
        <v>0.13061193334007501</v>
      </c>
      <c r="E15" s="76">
        <v>0.103872277589346</v>
      </c>
      <c r="F15" s="76">
        <v>0.103872277589346</v>
      </c>
    </row>
    <row r="16" spans="1:8" ht="15.75" customHeight="1">
      <c r="B16" s="24" t="s">
        <v>17</v>
      </c>
      <c r="C16" s="76">
        <v>4.9331355748983702E-2</v>
      </c>
      <c r="D16" s="76">
        <v>4.9331355748983702E-2</v>
      </c>
      <c r="E16" s="76">
        <v>4.5623497359682803E-2</v>
      </c>
      <c r="F16" s="76">
        <v>4.5623497359682803E-2</v>
      </c>
    </row>
    <row r="17" spans="1:8" ht="15.75" customHeight="1">
      <c r="B17" s="24" t="s">
        <v>18</v>
      </c>
      <c r="C17" s="76">
        <v>7.6011025981576497E-2</v>
      </c>
      <c r="D17" s="76">
        <v>7.6011025981576497E-2</v>
      </c>
      <c r="E17" s="76">
        <v>0.15290323742260101</v>
      </c>
      <c r="F17" s="76">
        <v>0.15290323742260101</v>
      </c>
    </row>
    <row r="18" spans="1:8" ht="15.75" customHeight="1">
      <c r="B18" s="24" t="s">
        <v>19</v>
      </c>
      <c r="C18" s="76">
        <v>2.0865763333877001E-2</v>
      </c>
      <c r="D18" s="76">
        <v>2.0865763333877001E-2</v>
      </c>
      <c r="E18" s="76">
        <v>3.17253725810634E-2</v>
      </c>
      <c r="F18" s="76">
        <v>3.17253725810634E-2</v>
      </c>
    </row>
    <row r="19" spans="1:8" ht="15.75" customHeight="1">
      <c r="B19" s="24" t="s">
        <v>20</v>
      </c>
      <c r="C19" s="76">
        <v>4.8760736720828098E-2</v>
      </c>
      <c r="D19" s="76">
        <v>4.8760736720828098E-2</v>
      </c>
      <c r="E19" s="76">
        <v>4.2523537216306299E-2</v>
      </c>
      <c r="F19" s="76">
        <v>4.2523537216306299E-2</v>
      </c>
    </row>
    <row r="20" spans="1:8" ht="15.75" customHeight="1">
      <c r="B20" s="24" t="s">
        <v>21</v>
      </c>
      <c r="C20" s="76">
        <v>4.3509082177179102E-2</v>
      </c>
      <c r="D20" s="76">
        <v>4.3509082177179102E-2</v>
      </c>
      <c r="E20" s="76">
        <v>1.6975086024404298E-2</v>
      </c>
      <c r="F20" s="76">
        <v>1.6975086024404298E-2</v>
      </c>
    </row>
    <row r="21" spans="1:8" ht="15.75" customHeight="1">
      <c r="B21" s="24" t="s">
        <v>22</v>
      </c>
      <c r="C21" s="76">
        <v>3.00628615350923E-2</v>
      </c>
      <c r="D21" s="76">
        <v>3.00628615350923E-2</v>
      </c>
      <c r="E21" s="76">
        <v>7.7189737072209996E-2</v>
      </c>
      <c r="F21" s="76">
        <v>7.7189737072209996E-2</v>
      </c>
    </row>
    <row r="22" spans="1:8" ht="15.75" customHeight="1">
      <c r="B22" s="24" t="s">
        <v>23</v>
      </c>
      <c r="C22" s="76">
        <v>0.34506604982362921</v>
      </c>
      <c r="D22" s="76">
        <v>0.34506604982362921</v>
      </c>
      <c r="E22" s="76">
        <v>0.30931037924898608</v>
      </c>
      <c r="F22" s="76">
        <v>0.30931037924898608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8.72E-2</v>
      </c>
    </row>
    <row r="27" spans="1:8" ht="15.75" customHeight="1">
      <c r="B27" s="24" t="s">
        <v>39</v>
      </c>
      <c r="C27" s="76">
        <v>9.0000000000000011E-3</v>
      </c>
    </row>
    <row r="28" spans="1:8" ht="15.75" customHeight="1">
      <c r="B28" s="24" t="s">
        <v>40</v>
      </c>
      <c r="C28" s="76">
        <v>0.15609999999999999</v>
      </c>
    </row>
    <row r="29" spans="1:8" ht="15.75" customHeight="1">
      <c r="B29" s="24" t="s">
        <v>41</v>
      </c>
      <c r="C29" s="76">
        <v>0.16829999999999998</v>
      </c>
    </row>
    <row r="30" spans="1:8" ht="15.75" customHeight="1">
      <c r="B30" s="24" t="s">
        <v>42</v>
      </c>
      <c r="C30" s="76">
        <v>0.10630000000000001</v>
      </c>
    </row>
    <row r="31" spans="1:8" ht="15.75" customHeight="1">
      <c r="B31" s="24" t="s">
        <v>43</v>
      </c>
      <c r="C31" s="76">
        <v>0.1103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8.4399999999999989E-2</v>
      </c>
    </row>
    <row r="34" spans="2:3" ht="15.75" customHeight="1">
      <c r="B34" s="24" t="s">
        <v>46</v>
      </c>
      <c r="C34" s="76">
        <v>0.25950000000447032</v>
      </c>
    </row>
    <row r="35" spans="2:3" ht="15.75" customHeight="1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0.59088563250883386</v>
      </c>
      <c r="D2" s="77">
        <v>0.58850000000000002</v>
      </c>
      <c r="E2" s="77">
        <v>0.57489999999999997</v>
      </c>
      <c r="F2" s="77">
        <v>0.35369999999999996</v>
      </c>
      <c r="G2" s="77">
        <v>0.34570000000000001</v>
      </c>
    </row>
    <row r="3" spans="1:15" ht="15.75" customHeight="1">
      <c r="A3" s="5"/>
      <c r="B3" s="11" t="s">
        <v>118</v>
      </c>
      <c r="C3" s="77">
        <v>0.26039999999999996</v>
      </c>
      <c r="D3" s="77">
        <v>0.26030000000000003</v>
      </c>
      <c r="E3" s="77">
        <v>0.27679999999999999</v>
      </c>
      <c r="F3" s="77">
        <v>0.3306</v>
      </c>
      <c r="G3" s="77">
        <v>0.34060000000000001</v>
      </c>
    </row>
    <row r="4" spans="1:15" ht="15.75" customHeight="1">
      <c r="A4" s="5"/>
      <c r="B4" s="11" t="s">
        <v>116</v>
      </c>
      <c r="C4" s="78">
        <v>0.10730000000000001</v>
      </c>
      <c r="D4" s="78">
        <v>0.1074</v>
      </c>
      <c r="E4" s="78">
        <v>0.11269999999999999</v>
      </c>
      <c r="F4" s="78">
        <v>0.22739999999999999</v>
      </c>
      <c r="G4" s="78">
        <v>0.21679999999999999</v>
      </c>
    </row>
    <row r="5" spans="1:15" ht="15.75" customHeight="1">
      <c r="A5" s="5"/>
      <c r="B5" s="11" t="s">
        <v>119</v>
      </c>
      <c r="C5" s="78">
        <v>4.3700000000000003E-2</v>
      </c>
      <c r="D5" s="78">
        <v>4.3799999999999999E-2</v>
      </c>
      <c r="E5" s="78">
        <v>3.56E-2</v>
      </c>
      <c r="F5" s="78">
        <v>8.8200000000000001E-2</v>
      </c>
      <c r="G5" s="78">
        <v>9.69E-2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0.81769999999999998</v>
      </c>
      <c r="D8" s="77">
        <v>0.81769999999999998</v>
      </c>
      <c r="E8" s="77">
        <v>0.77280000000000004</v>
      </c>
      <c r="F8" s="77">
        <v>0.71400000000000008</v>
      </c>
      <c r="G8" s="77">
        <v>0.73319999999999996</v>
      </c>
    </row>
    <row r="9" spans="1:15" ht="15.75" customHeight="1">
      <c r="B9" s="7" t="s">
        <v>121</v>
      </c>
      <c r="C9" s="77">
        <v>0.1106</v>
      </c>
      <c r="D9" s="77">
        <v>0.1106</v>
      </c>
      <c r="E9" s="77">
        <v>0.1618</v>
      </c>
      <c r="F9" s="77">
        <v>0.20610000000000001</v>
      </c>
      <c r="G9" s="77">
        <v>0.21629999999999999</v>
      </c>
    </row>
    <row r="10" spans="1:15" ht="15.75" customHeight="1">
      <c r="B10" s="7" t="s">
        <v>122</v>
      </c>
      <c r="C10" s="78">
        <v>4.7899999999999998E-2</v>
      </c>
      <c r="D10" s="78">
        <v>4.7899999999999998E-2</v>
      </c>
      <c r="E10" s="78">
        <v>4.4600000000000001E-2</v>
      </c>
      <c r="F10" s="78">
        <v>6.4600000000000005E-2</v>
      </c>
      <c r="G10" s="78">
        <v>3.9599999999999996E-2</v>
      </c>
    </row>
    <row r="11" spans="1:15" ht="15.75" customHeight="1">
      <c r="B11" s="7" t="s">
        <v>123</v>
      </c>
      <c r="C11" s="78">
        <v>2.3799999999999998E-2</v>
      </c>
      <c r="D11" s="78">
        <v>2.3799999999999998E-2</v>
      </c>
      <c r="E11" s="78">
        <v>2.0899999999999998E-2</v>
      </c>
      <c r="F11" s="78">
        <v>1.5300000000000001E-2</v>
      </c>
      <c r="G11" s="78">
        <v>1.09E-2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0.7510305827499999</v>
      </c>
      <c r="D14" s="79">
        <v>0.74746872583599999</v>
      </c>
      <c r="E14" s="79">
        <v>0.74746872583599999</v>
      </c>
      <c r="F14" s="79">
        <v>0.77730240855800004</v>
      </c>
      <c r="G14" s="79">
        <v>0.77730240855800004</v>
      </c>
      <c r="H14" s="80">
        <v>0.505</v>
      </c>
      <c r="I14" s="80">
        <v>0.505</v>
      </c>
      <c r="J14" s="80">
        <v>0.505</v>
      </c>
      <c r="K14" s="80">
        <v>0.505</v>
      </c>
      <c r="L14" s="80">
        <v>0.44107000000000002</v>
      </c>
      <c r="M14" s="80">
        <v>0.44107000000000002</v>
      </c>
      <c r="N14" s="80">
        <v>0.44107000000000002</v>
      </c>
      <c r="O14" s="80">
        <v>0.44107000000000002</v>
      </c>
    </row>
    <row r="15" spans="1:15" ht="15.75" customHeight="1">
      <c r="B15" s="16" t="s">
        <v>68</v>
      </c>
      <c r="C15" s="77">
        <f t="shared" ref="C15:O15" si="0">iron_deficiency_anaemia*C14</f>
        <v>0.33325048284009151</v>
      </c>
      <c r="D15" s="77">
        <f t="shared" si="0"/>
        <v>0.33167000054860946</v>
      </c>
      <c r="E15" s="77">
        <f t="shared" si="0"/>
        <v>0.33167000054860946</v>
      </c>
      <c r="F15" s="77">
        <f t="shared" si="0"/>
        <v>0.34490792907024215</v>
      </c>
      <c r="G15" s="77">
        <f t="shared" si="0"/>
        <v>0.34490792907024215</v>
      </c>
      <c r="H15" s="77">
        <f t="shared" si="0"/>
        <v>0.22408074677601567</v>
      </c>
      <c r="I15" s="77">
        <f t="shared" si="0"/>
        <v>0.22408074677601567</v>
      </c>
      <c r="J15" s="77">
        <f t="shared" si="0"/>
        <v>0.22408074677601567</v>
      </c>
      <c r="K15" s="77">
        <f t="shared" si="0"/>
        <v>0.22408074677601567</v>
      </c>
      <c r="L15" s="77">
        <f t="shared" si="0"/>
        <v>0.19571345540692522</v>
      </c>
      <c r="M15" s="77">
        <f t="shared" si="0"/>
        <v>0.19571345540692522</v>
      </c>
      <c r="N15" s="77">
        <f t="shared" si="0"/>
        <v>0.19571345540692522</v>
      </c>
      <c r="O15" s="77">
        <f t="shared" si="0"/>
        <v>0.19571345540692522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0.81830000000000003</v>
      </c>
      <c r="D2" s="78">
        <v>0.46439999999999998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0.14080000000000001</v>
      </c>
      <c r="D3" s="78">
        <v>0.36619999999999997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3.44E-2</v>
      </c>
      <c r="D4" s="78">
        <v>0.15429999999999999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6.4999999999999503E-3</v>
      </c>
      <c r="D5" s="77">
        <f t="shared" ref="D5:G5" si="0">1-SUM(D2:D4)</f>
        <v>1.5100000000000002E-2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0.27839999999999998</v>
      </c>
      <c r="D2" s="28">
        <v>0.28070000000000001</v>
      </c>
      <c r="E2" s="28">
        <v>0.28039999999999998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6.0099999999999994E-2</v>
      </c>
      <c r="D4" s="28">
        <v>5.9699999999999996E-2</v>
      </c>
      <c r="E4" s="28">
        <v>5.9699999999999996E-2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0.74746872583599999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0.505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0.44107000000000002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0.46439999999999998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64.299000000000007</v>
      </c>
      <c r="D13" s="28">
        <v>61.637</v>
      </c>
      <c r="E13" s="28">
        <v>59.145000000000003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5.49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35.689233383193283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47.382446889693739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64.159596471670312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0.23379599852745622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1.1595815460145393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1.1595815460145393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1.1595815460145393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1.1595815460145393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15.041696220188818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15.041696220188818</v>
      </c>
      <c r="E15" s="86" t="s">
        <v>201</v>
      </c>
    </row>
    <row r="16" spans="1:5" ht="15.75" customHeight="1">
      <c r="A16" s="53" t="s">
        <v>57</v>
      </c>
      <c r="B16" s="85">
        <v>0.45500000000000002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0.24428921005840337</v>
      </c>
      <c r="E17" s="86" t="s">
        <v>201</v>
      </c>
    </row>
    <row r="18" spans="1:5" ht="15.75" customHeight="1">
      <c r="A18" s="53" t="s">
        <v>175</v>
      </c>
      <c r="B18" s="85">
        <v>0.38200000000000001</v>
      </c>
      <c r="C18" s="85">
        <v>0.95</v>
      </c>
      <c r="D18" s="86">
        <v>1.5845246658004855</v>
      </c>
      <c r="E18" s="86" t="s">
        <v>201</v>
      </c>
    </row>
    <row r="19" spans="1:5" ht="15.75" customHeight="1">
      <c r="A19" s="53" t="s">
        <v>174</v>
      </c>
      <c r="B19" s="85">
        <v>9.8000000000000004E-2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2.2607379783053063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25.63150323579427</v>
      </c>
      <c r="E22" s="86" t="s">
        <v>201</v>
      </c>
    </row>
    <row r="23" spans="1:5" ht="15.75" customHeight="1">
      <c r="A23" s="53" t="s">
        <v>34</v>
      </c>
      <c r="B23" s="85">
        <v>0.90099999999999991</v>
      </c>
      <c r="C23" s="85">
        <v>0.95</v>
      </c>
      <c r="D23" s="86">
        <v>4.9266956385450174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21.753258409153641</v>
      </c>
      <c r="E24" s="86" t="s">
        <v>201</v>
      </c>
    </row>
    <row r="25" spans="1:5" ht="15.75" customHeight="1">
      <c r="A25" s="53" t="s">
        <v>87</v>
      </c>
      <c r="B25" s="85">
        <v>0.308</v>
      </c>
      <c r="C25" s="85">
        <v>0.95</v>
      </c>
      <c r="D25" s="86">
        <v>21.734797651615953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4.8846065798854577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3.9126465777734238</v>
      </c>
      <c r="E27" s="86" t="s">
        <v>201</v>
      </c>
    </row>
    <row r="28" spans="1:5" ht="15.75" customHeight="1">
      <c r="A28" s="53" t="s">
        <v>84</v>
      </c>
      <c r="B28" s="85">
        <v>0.35100000000000003</v>
      </c>
      <c r="C28" s="85">
        <v>0.95</v>
      </c>
      <c r="D28" s="86">
        <v>0.66753499531742333</v>
      </c>
      <c r="E28" s="86" t="s">
        <v>201</v>
      </c>
    </row>
    <row r="29" spans="1:5" ht="15.75" customHeight="1">
      <c r="A29" s="53" t="s">
        <v>58</v>
      </c>
      <c r="B29" s="85">
        <v>9.8000000000000004E-2</v>
      </c>
      <c r="C29" s="85">
        <v>0.95</v>
      </c>
      <c r="D29" s="86">
        <v>62.659928701621624</v>
      </c>
      <c r="E29" s="86" t="s">
        <v>201</v>
      </c>
    </row>
    <row r="30" spans="1:5" ht="15.75" customHeight="1">
      <c r="A30" s="53" t="s">
        <v>67</v>
      </c>
      <c r="B30" s="85">
        <v>0.02</v>
      </c>
      <c r="C30" s="85">
        <v>0.95</v>
      </c>
      <c r="D30" s="86">
        <v>170.58202330325096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170.58202330325096</v>
      </c>
      <c r="E31" s="86" t="s">
        <v>201</v>
      </c>
    </row>
    <row r="32" spans="1:5" ht="15.75" customHeight="1">
      <c r="A32" s="53" t="s">
        <v>28</v>
      </c>
      <c r="B32" s="85">
        <v>0.73299999999999998</v>
      </c>
      <c r="C32" s="85">
        <v>0.95</v>
      </c>
      <c r="D32" s="86">
        <v>0.46063596943431284</v>
      </c>
      <c r="E32" s="86" t="s">
        <v>201</v>
      </c>
    </row>
    <row r="33" spans="1:6" ht="15.75" customHeight="1">
      <c r="A33" s="53" t="s">
        <v>83</v>
      </c>
      <c r="B33" s="85">
        <v>0.106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0.626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0.20499999999999999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0.66599999999999993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0.11900000000000001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0.27800000000000002</v>
      </c>
      <c r="C38" s="85">
        <v>0.95</v>
      </c>
      <c r="D38" s="86">
        <v>2.0201556574071171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0.48606108788518154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2020-08-28T23:45:28Z</dcterms:modified>
</cp:coreProperties>
</file>