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029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Opt 2020 base\"/>
    </mc:Choice>
  </mc:AlternateContent>
  <xr:revisionPtr revIDLastSave="0" documentId="8_{D2A5C58B-CE57-473D-B68A-8E000B3B2829}" xr6:coauthVersionLast="45" xr6:coauthVersionMax="45" xr10:uidLastSave="{00000000-0000-0000-0000-000000000000}"/>
  <bookViews>
    <workbookView xWindow="-17196" yWindow="-13068" windowWidth="23256" windowHeight="12576" tabRatio="961" activeTab="6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<sst xmlns="http://schemas.openxmlformats.org/spreadsheetml/2006/main" count="1109" uniqueCount="272">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</sst>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topLeftCell="A46" zoomScaleNormal="100" workbookViewId="0">
      <selection activeCell="C4" sqref="C4"/>
    </sheetView>
  </sheetViews>
  <sheetFormatPr defaultColWidth="14.44140625" defaultRowHeight="15.75" customHeight="1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>
      <c r="A1" s="1" t="s">
        <v>100</v>
      </c>
      <c r="B1" s="41" t="s">
        <v>164</v>
      </c>
      <c r="C1" s="41" t="s">
        <v>165</v>
      </c>
    </row>
    <row r="2" spans="1:3" ht="16.05" customHeight="1">
      <c r="A2" s="12" t="s">
        <v>193</v>
      </c>
      <c r="B2" s="41"/>
      <c r="C2" s="41"/>
    </row>
    <row r="3" spans="1:3" ht="16.05" customHeight="1">
      <c r="A3" s="1"/>
      <c r="B3" s="7" t="s">
        <v>195</v>
      </c>
      <c r="C3" s="72">
        <v>2020</v>
      </c>
    </row>
    <row r="4" spans="1:3" ht="16.05" customHeight="1">
      <c r="A4" s="1"/>
      <c r="B4" s="9" t="s">
        <v>194</v>
      </c>
      <c r="C4" s="73">
        <v>2022</v>
      </c>
    </row>
    <row r="5" spans="1:3" ht="16.05" customHeight="1">
      <c r="A5" s="1"/>
      <c r="B5" s="41"/>
      <c r="C5" s="41"/>
    </row>
    <row r="6" spans="1:3" ht="15" customHeight="1">
      <c r="A6" s="12" t="s">
        <v>48</v>
      </c>
    </row>
    <row r="7" spans="1:3" ht="15" customHeight="1">
      <c r="B7" s="16" t="s">
        <v>208</v>
      </c>
      <c r="C7" s="71">
        <v>12917848</v>
      </c>
    </row>
    <row r="8" spans="1:3" ht="15" customHeight="1">
      <c r="B8" s="7" t="s">
        <v>106</v>
      </c>
      <c r="C8" s="66">
        <v>1.3000000000000001E-2</v>
      </c>
    </row>
    <row r="9" spans="1:3" ht="15" customHeight="1">
      <c r="B9" s="9" t="s">
        <v>107</v>
      </c>
      <c r="C9" s="67">
        <v>5.0000000000000001E-3</v>
      </c>
    </row>
    <row r="10" spans="1:3" ht="15" customHeight="1">
      <c r="B10" s="9" t="s">
        <v>105</v>
      </c>
      <c r="C10" s="67">
        <v>0.81604232788085895</v>
      </c>
    </row>
    <row r="11" spans="1:3" ht="15" customHeight="1">
      <c r="B11" s="7" t="s">
        <v>108</v>
      </c>
      <c r="C11" s="66">
        <v>0.82799999999999996</v>
      </c>
    </row>
    <row r="12" spans="1:3" ht="15" customHeight="1">
      <c r="B12" s="7" t="s">
        <v>109</v>
      </c>
      <c r="C12" s="66">
        <v>0.68099999999999994</v>
      </c>
    </row>
    <row r="13" spans="1:3" ht="15" customHeight="1">
      <c r="B13" s="7" t="s">
        <v>110</v>
      </c>
      <c r="C13" s="66">
        <v>0.2</v>
      </c>
    </row>
    <row r="14" spans="1:3" ht="15" customHeight="1">
      <c r="B14" s="12"/>
    </row>
    <row r="15" spans="1:3" ht="15" customHeight="1">
      <c r="A15" s="12" t="s">
        <v>30</v>
      </c>
      <c r="B15" s="19"/>
      <c r="C15" s="3"/>
    </row>
    <row r="16" spans="1:3" ht="15" customHeight="1">
      <c r="B16" s="9" t="s">
        <v>94</v>
      </c>
      <c r="C16" s="67">
        <v>0.1</v>
      </c>
    </row>
    <row r="17" spans="1:3" ht="15" customHeight="1">
      <c r="B17" s="9" t="s">
        <v>95</v>
      </c>
      <c r="C17" s="67">
        <v>5.0000000000000001E-3</v>
      </c>
    </row>
    <row r="18" spans="1:3" ht="15" customHeight="1">
      <c r="B18" s="9" t="s">
        <v>96</v>
      </c>
      <c r="C18" s="67">
        <v>5.0000000000000001E-3</v>
      </c>
    </row>
    <row r="19" spans="1:3" ht="15" customHeight="1">
      <c r="B19" s="9" t="s">
        <v>97</v>
      </c>
      <c r="C19" s="67">
        <v>0.99</v>
      </c>
    </row>
    <row r="20" spans="1:3" ht="15" customHeight="1">
      <c r="B20" s="9" t="s">
        <v>98</v>
      </c>
      <c r="C20" s="70">
        <f>1-frac_rice-frac_wheat-frac_maize</f>
        <v>0</v>
      </c>
    </row>
    <row r="21" spans="1:3" ht="15" customHeight="1">
      <c r="B21" s="12"/>
    </row>
    <row r="22" spans="1:3" ht="15" customHeight="1">
      <c r="A22" s="12" t="s">
        <v>99</v>
      </c>
    </row>
    <row r="23" spans="1:3" ht="15" customHeight="1">
      <c r="B23" s="20" t="s">
        <v>101</v>
      </c>
      <c r="C23" s="67">
        <v>0.1125</v>
      </c>
    </row>
    <row r="24" spans="1:3" ht="15" customHeight="1">
      <c r="B24" s="20" t="s">
        <v>102</v>
      </c>
      <c r="C24" s="67">
        <v>0.58400000000000007</v>
      </c>
    </row>
    <row r="25" spans="1:3" ht="15" customHeight="1">
      <c r="B25" s="20" t="s">
        <v>103</v>
      </c>
      <c r="C25" s="67">
        <v>0.28139999999999998</v>
      </c>
    </row>
    <row r="26" spans="1:3" ht="15" customHeight="1">
      <c r="B26" s="20" t="s">
        <v>104</v>
      </c>
      <c r="C26" s="67">
        <v>2.2099999999999998E-2</v>
      </c>
    </row>
    <row r="27" spans="1:3" ht="15" customHeight="1">
      <c r="B27" s="20"/>
      <c r="C27" s="20"/>
    </row>
    <row r="28" spans="1:3" ht="15" customHeight="1">
      <c r="A28" s="12" t="s">
        <v>199</v>
      </c>
      <c r="B28" s="20"/>
      <c r="C28" s="20"/>
    </row>
    <row r="29" spans="1:3" ht="14.25" customHeight="1">
      <c r="B29" s="30" t="s">
        <v>75</v>
      </c>
      <c r="C29" s="69">
        <v>0.33500000000000002</v>
      </c>
    </row>
    <row r="30" spans="1:3" ht="14.25" customHeight="1">
      <c r="B30" s="30" t="s">
        <v>76</v>
      </c>
      <c r="C30" s="69">
        <v>5.2000000000000005E-2</v>
      </c>
    </row>
    <row r="31" spans="1:3" ht="14.25" customHeight="1">
      <c r="B31" s="30" t="s">
        <v>77</v>
      </c>
      <c r="C31" s="69">
        <v>8.6999999999999994E-2</v>
      </c>
    </row>
    <row r="32" spans="1:3" ht="14.25" customHeight="1">
      <c r="B32" s="30" t="s">
        <v>78</v>
      </c>
      <c r="C32" s="69">
        <v>0.52599999998509883</v>
      </c>
    </row>
    <row r="33" spans="1:5" ht="13.2">
      <c r="B33" s="32" t="s">
        <v>129</v>
      </c>
      <c r="C33" s="91">
        <f>SUM(C29:C32)</f>
        <v>0.99999999998509881</v>
      </c>
    </row>
    <row r="34" spans="1:5" ht="15" customHeight="1"/>
    <row r="35" spans="1:5" ht="15" customHeight="1">
      <c r="A35" s="4" t="s">
        <v>135</v>
      </c>
    </row>
    <row r="36" spans="1:5" ht="15" customHeight="1">
      <c r="A36" s="12" t="s">
        <v>74</v>
      </c>
      <c r="B36" s="7"/>
      <c r="C36" s="13"/>
    </row>
    <row r="37" spans="1:5" ht="15" customHeight="1">
      <c r="B37" s="42" t="s">
        <v>92</v>
      </c>
      <c r="C37" s="68">
        <v>11.6</v>
      </c>
    </row>
    <row r="38" spans="1:5" ht="15" customHeight="1">
      <c r="B38" s="16" t="s">
        <v>91</v>
      </c>
      <c r="C38" s="68">
        <v>18.8</v>
      </c>
      <c r="D38" s="17"/>
      <c r="E38" s="18"/>
    </row>
    <row r="39" spans="1:5" ht="15" customHeight="1">
      <c r="B39" s="16" t="s">
        <v>90</v>
      </c>
      <c r="C39" s="68">
        <v>22.1</v>
      </c>
      <c r="D39" s="17"/>
      <c r="E39" s="17"/>
    </row>
    <row r="40" spans="1:5" ht="15" customHeight="1">
      <c r="B40" s="16" t="s">
        <v>171</v>
      </c>
      <c r="C40" s="68">
        <v>0.33</v>
      </c>
    </row>
    <row r="41" spans="1:5" ht="15" customHeight="1">
      <c r="B41" s="16" t="s">
        <v>89</v>
      </c>
      <c r="C41" s="67">
        <v>0.13</v>
      </c>
    </row>
    <row r="42" spans="1:5" ht="15" customHeight="1">
      <c r="B42" s="42" t="s">
        <v>93</v>
      </c>
      <c r="C42" s="68">
        <v>12.2</v>
      </c>
    </row>
    <row r="43" spans="1:5" ht="15.75" customHeight="1">
      <c r="D43" s="17"/>
    </row>
    <row r="44" spans="1:5" ht="15.75" customHeight="1">
      <c r="A44" s="12" t="s">
        <v>133</v>
      </c>
      <c r="D44" s="17"/>
    </row>
    <row r="45" spans="1:5" ht="15.75" customHeight="1">
      <c r="B45" s="16" t="s">
        <v>9</v>
      </c>
      <c r="C45" s="67">
        <v>1.1699999999999999E-2</v>
      </c>
      <c r="D45" s="17"/>
    </row>
    <row r="46" spans="1:5" ht="15.75" customHeight="1">
      <c r="B46" s="16" t="s">
        <v>11</v>
      </c>
      <c r="C46" s="67">
        <v>6.1100000000000002E-2</v>
      </c>
      <c r="D46" s="17"/>
    </row>
    <row r="47" spans="1:5" ht="15.75" customHeight="1">
      <c r="B47" s="16" t="s">
        <v>12</v>
      </c>
      <c r="C47" s="67">
        <v>8.7400000000000005E-2</v>
      </c>
      <c r="D47" s="17"/>
      <c r="E47" s="18"/>
    </row>
    <row r="48" spans="1:5" ht="15" customHeight="1">
      <c r="B48" s="16" t="s">
        <v>26</v>
      </c>
      <c r="C48" s="70">
        <f>1-term_SGA-preterm_AGA-preterm_SGA</f>
        <v>0.83979999999999988</v>
      </c>
      <c r="D48" s="17"/>
      <c r="E48" s="17"/>
    </row>
    <row r="49" spans="1:4" ht="15.75" customHeight="1">
      <c r="D49" s="17"/>
    </row>
    <row r="50" spans="1:4" ht="15.75" customHeight="1">
      <c r="A50" s="12" t="s">
        <v>72</v>
      </c>
      <c r="D50" s="17"/>
    </row>
    <row r="51" spans="1:4" ht="15.75" customHeight="1">
      <c r="B51" s="16" t="s">
        <v>124</v>
      </c>
      <c r="C51" s="65">
        <v>4.4007478497399921</v>
      </c>
      <c r="D51" s="17"/>
    </row>
    <row r="52" spans="1:4" ht="15" customHeight="1">
      <c r="B52" s="16" t="s">
        <v>125</v>
      </c>
      <c r="C52" s="65">
        <v>4.1294301114399996</v>
      </c>
    </row>
    <row r="53" spans="1:4" ht="15.75" customHeight="1">
      <c r="B53" s="16" t="s">
        <v>126</v>
      </c>
      <c r="C53" s="65">
        <v>4.1294301114399996</v>
      </c>
    </row>
    <row r="54" spans="1:4" ht="15.75" customHeight="1">
      <c r="B54" s="16" t="s">
        <v>127</v>
      </c>
      <c r="C54" s="65">
        <v>2.21557386425</v>
      </c>
    </row>
    <row r="55" spans="1:4" ht="15.75" customHeight="1">
      <c r="B55" s="16" t="s">
        <v>128</v>
      </c>
      <c r="C55" s="65">
        <v>2.21557386425</v>
      </c>
    </row>
    <row r="57" spans="1:4" ht="15.75" customHeight="1">
      <c r="A57" s="12" t="s">
        <v>134</v>
      </c>
    </row>
    <row r="58" spans="1:4" ht="15.75" customHeight="1">
      <c r="B58" s="7" t="s">
        <v>111</v>
      </c>
      <c r="C58" s="66">
        <v>2.0593869731800763E-2</v>
      </c>
    </row>
    <row r="59" spans="1:4" ht="15.75" customHeight="1">
      <c r="B59" s="16" t="s">
        <v>132</v>
      </c>
      <c r="C59" s="66">
        <v>0.53153879690099282</v>
      </c>
    </row>
    <row r="60" spans="1:4" ht="15.75" customHeight="1">
      <c r="B60" s="16" t="s">
        <v>270</v>
      </c>
      <c r="C60" s="66">
        <v>0.05</v>
      </c>
    </row>
    <row r="61" spans="1:4" ht="15.75" customHeight="1">
      <c r="B61" s="16" t="s">
        <v>271</v>
      </c>
      <c r="C61" s="66">
        <v>0.01</v>
      </c>
    </row>
    <row r="63" spans="1:4" ht="15.75" customHeight="1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B14" sqref="B14"/>
    </sheetView>
  </sheetViews>
  <sheetFormatPr defaultColWidth="11.44140625" defaultRowHeight="13.2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>
      <c r="A1" s="40" t="s">
        <v>69</v>
      </c>
      <c r="B1" s="40" t="s">
        <v>182</v>
      </c>
      <c r="C1" s="40" t="s">
        <v>181</v>
      </c>
    </row>
    <row r="2" spans="1:3">
      <c r="A2" s="88" t="s">
        <v>189</v>
      </c>
      <c r="B2" s="81" t="s">
        <v>59</v>
      </c>
      <c r="C2" s="81"/>
    </row>
    <row r="3" spans="1:3">
      <c r="A3" s="88" t="s">
        <v>206</v>
      </c>
      <c r="B3" s="81" t="s">
        <v>59</v>
      </c>
      <c r="C3" s="81"/>
    </row>
    <row r="4" spans="1:3">
      <c r="A4" s="89" t="s">
        <v>58</v>
      </c>
      <c r="B4" s="81" t="s">
        <v>136</v>
      </c>
      <c r="C4" s="81"/>
    </row>
    <row r="5" spans="1:3">
      <c r="A5" s="89" t="s">
        <v>137</v>
      </c>
      <c r="B5" s="81" t="s">
        <v>136</v>
      </c>
      <c r="C5" s="81"/>
    </row>
    <row r="6" spans="1:3">
      <c r="A6" s="89"/>
      <c r="B6" s="87"/>
      <c r="C6" s="87"/>
    </row>
    <row r="7" spans="1:3">
      <c r="A7" s="89"/>
      <c r="B7" s="87"/>
      <c r="C7" s="87"/>
    </row>
    <row r="8" spans="1:3">
      <c r="A8" s="89"/>
      <c r="B8" s="87"/>
      <c r="C8" s="87"/>
    </row>
    <row r="9" spans="1:3">
      <c r="A9" s="89"/>
      <c r="B9" s="87"/>
      <c r="C9" s="87"/>
    </row>
    <row r="10" spans="1:3">
      <c r="A10" s="89"/>
      <c r="B10" s="87"/>
      <c r="C10" s="87"/>
    </row>
    <row r="11" spans="1:3">
      <c r="A11" s="90"/>
      <c r="B11" s="87"/>
      <c r="C11" s="87"/>
    </row>
    <row r="12" spans="1:3">
      <c r="A12" s="90"/>
      <c r="B12" s="87"/>
      <c r="C12" s="87"/>
    </row>
    <row r="13" spans="1:3">
      <c r="A13" s="90"/>
      <c r="B13" s="87"/>
      <c r="C13" s="87"/>
    </row>
    <row r="14" spans="1:3">
      <c r="A14" s="90"/>
      <c r="B14" s="87"/>
      <c r="C14" s="87"/>
    </row>
    <row r="15" spans="1:3">
      <c r="A15" s="90"/>
      <c r="B15" s="87"/>
      <c r="C15" s="87"/>
    </row>
    <row r="16" spans="1:3">
      <c r="A16" s="90"/>
      <c r="B16" s="87"/>
      <c r="C16" s="87"/>
    </row>
    <row r="17" spans="1:3">
      <c r="A17" s="90"/>
      <c r="B17" s="87"/>
      <c r="C17" s="87"/>
    </row>
    <row r="18" spans="1:3">
      <c r="A18" s="90"/>
      <c r="B18" s="87"/>
      <c r="C18" s="87"/>
    </row>
    <row r="19" spans="1:3">
      <c r="A19" s="89"/>
      <c r="B19" s="87"/>
      <c r="C19" s="87"/>
    </row>
    <row r="20" spans="1:3">
      <c r="A20" s="89"/>
      <c r="B20" s="87"/>
      <c r="C20" s="87"/>
    </row>
    <row r="21" spans="1:3">
      <c r="A21" s="89"/>
      <c r="B21" s="87"/>
      <c r="C21" s="87"/>
    </row>
    <row r="22" spans="1:3">
      <c r="A22" s="89"/>
      <c r="B22" s="87"/>
      <c r="C22" s="87"/>
    </row>
    <row r="23" spans="1:3">
      <c r="B23" s="87"/>
      <c r="C23" s="87"/>
    </row>
    <row r="24" spans="1:3">
      <c r="B24" s="87"/>
      <c r="C24" s="87"/>
    </row>
    <row r="25" spans="1:3">
      <c r="B25" s="87"/>
      <c r="C25" s="87"/>
    </row>
    <row r="26" spans="1:3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workbookViewId="0">
      <selection activeCell="A10" sqref="A10:A11"/>
    </sheetView>
  </sheetViews>
  <sheetFormatPr defaultColWidth="11.44140625" defaultRowHeight="13.2"/>
  <cols>
    <col min="1" max="1" width="30.109375" style="35" customWidth="1"/>
    <col min="2" max="16384" width="11.44140625" style="35"/>
  </cols>
  <sheetData>
    <row r="1" spans="1:1">
      <c r="A1" s="40" t="s">
        <v>69</v>
      </c>
    </row>
    <row r="2" spans="1:1">
      <c r="A2" s="48" t="s">
        <v>197</v>
      </c>
    </row>
    <row r="3" spans="1:1">
      <c r="A3" s="48" t="s">
        <v>57</v>
      </c>
    </row>
    <row r="4" spans="1:1">
      <c r="A4" s="48" t="s">
        <v>34</v>
      </c>
    </row>
    <row r="5" spans="1:1">
      <c r="A5" s="48" t="s">
        <v>83</v>
      </c>
    </row>
    <row r="6" spans="1:1">
      <c r="A6" s="48" t="s">
        <v>82</v>
      </c>
    </row>
    <row r="7" spans="1:1">
      <c r="A7" s="48" t="s">
        <v>81</v>
      </c>
    </row>
    <row r="8" spans="1:1">
      <c r="A8" s="48" t="s">
        <v>79</v>
      </c>
    </row>
    <row r="9" spans="1:1">
      <c r="A9" s="48" t="s">
        <v>80</v>
      </c>
    </row>
    <row r="10" spans="1:1">
      <c r="A10" s="48"/>
    </row>
    <row r="11" spans="1:1">
      <c r="A11" s="48"/>
    </row>
    <row r="12" spans="1:1">
      <c r="A12" s="48"/>
    </row>
    <row r="13" spans="1:1">
      <c r="A13" s="48"/>
    </row>
    <row r="14" spans="1:1">
      <c r="A14" s="48"/>
    </row>
    <row r="15" spans="1:1">
      <c r="A15" s="48"/>
    </row>
    <row r="16" spans="1:1">
      <c r="A16" s="48"/>
    </row>
    <row r="17" spans="1:1">
      <c r="A17" s="48"/>
    </row>
    <row r="18" spans="1:1">
      <c r="A18" s="48"/>
    </row>
    <row r="19" spans="1:1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/>
  <sheetData>
    <row r="1" spans="1:6" ht="15.75" customHeight="1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>
      <c r="A2" s="3" t="s">
        <v>71</v>
      </c>
      <c r="B2" s="26">
        <f>'Baseline year population inputs'!C51</f>
        <v>4.4007478497399921</v>
      </c>
      <c r="C2" s="26">
        <f>'Baseline year population inputs'!C52</f>
        <v>4.1294301114399996</v>
      </c>
      <c r="D2" s="26">
        <f>'Baseline year population inputs'!C53</f>
        <v>4.1294301114399996</v>
      </c>
      <c r="E2" s="26">
        <f>'Baseline year population inputs'!C54</f>
        <v>2.21557386425</v>
      </c>
      <c r="F2" s="26">
        <f>'Baseline year population inputs'!C55</f>
        <v>2.21557386425</v>
      </c>
    </row>
    <row r="3" spans="1:6" ht="15.75" customHeight="1">
      <c r="A3" s="3" t="s">
        <v>65</v>
      </c>
      <c r="B3" s="26">
        <f>frac_mam_1month * 2.6</f>
        <v>0.17498</v>
      </c>
      <c r="C3" s="26">
        <f>frac_mam_1_5months * 2.6</f>
        <v>0.17498</v>
      </c>
      <c r="D3" s="26">
        <f>frac_mam_6_11months * 2.6</f>
        <v>0.13650000000000001</v>
      </c>
      <c r="E3" s="26">
        <f>frac_mam_12_23months * 2.6</f>
        <v>0.14534</v>
      </c>
      <c r="F3" s="26">
        <f>frac_mam_24_59months * 2.6</f>
        <v>0.10244</v>
      </c>
    </row>
    <row r="4" spans="1:6" ht="15.75" customHeight="1">
      <c r="A4" s="3" t="s">
        <v>66</v>
      </c>
      <c r="B4" s="26">
        <f>frac_sam_1month * 2.6</f>
        <v>0.23608000000000001</v>
      </c>
      <c r="C4" s="26">
        <f>frac_sam_1_5months * 2.6</f>
        <v>0.23608000000000001</v>
      </c>
      <c r="D4" s="26">
        <f>frac_sam_6_11months * 2.6</f>
        <v>0.19162000000000001</v>
      </c>
      <c r="E4" s="26">
        <f>frac_sam_12_23months * 2.6</f>
        <v>0.11855999999999998</v>
      </c>
      <c r="F4" s="26">
        <f>frac_sam_24_59months * 2.6</f>
        <v>9.5419999999999991E-2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C7" sqref="C7:G7"/>
    </sheetView>
  </sheetViews>
  <sheetFormatPr defaultColWidth="14.44140625" defaultRowHeight="15.75" customHeight="1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>
      <c r="A2" s="4" t="s">
        <v>31</v>
      </c>
      <c r="B2" s="11" t="s">
        <v>61</v>
      </c>
      <c r="C2" s="93">
        <v>0</v>
      </c>
      <c r="D2" s="93">
        <f>food_insecure</f>
        <v>1.3000000000000001E-2</v>
      </c>
      <c r="E2" s="93">
        <f>food_insecure</f>
        <v>1.3000000000000001E-2</v>
      </c>
      <c r="F2" s="93">
        <f>food_insecure</f>
        <v>1.3000000000000001E-2</v>
      </c>
      <c r="G2" s="93">
        <f>food_insecure</f>
        <v>1.3000000000000001E-2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>
      <c r="B5" s="11" t="s">
        <v>136</v>
      </c>
      <c r="C5" s="93">
        <v>0</v>
      </c>
      <c r="D5" s="93">
        <v>0</v>
      </c>
      <c r="E5" s="93">
        <f>food_insecure</f>
        <v>1.3000000000000001E-2</v>
      </c>
      <c r="F5" s="93">
        <f>food_insecure</f>
        <v>1.3000000000000001E-2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>
      <c r="B7" s="33" t="s">
        <v>84</v>
      </c>
      <c r="C7" s="93">
        <f>diarrhoea_1mo</f>
        <v>4.4007478497399921</v>
      </c>
      <c r="D7" s="93">
        <f>diarrhoea_1_5mo</f>
        <v>4.1294301114399996</v>
      </c>
      <c r="E7" s="93">
        <f>diarrhoea_6_11mo</f>
        <v>4.1294301114399996</v>
      </c>
      <c r="F7" s="93">
        <f>diarrhoea_12_23mo</f>
        <v>2.21557386425</v>
      </c>
      <c r="G7" s="93">
        <f>diarrhoea_24_59mo</f>
        <v>2.21557386425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>
      <c r="B8" s="11" t="s">
        <v>58</v>
      </c>
      <c r="C8" s="93">
        <v>0</v>
      </c>
      <c r="D8" s="93">
        <v>0</v>
      </c>
      <c r="E8" s="93">
        <f>food_insecure</f>
        <v>1.3000000000000001E-2</v>
      </c>
      <c r="F8" s="93">
        <f>food_insecure</f>
        <v>1.3000000000000001E-2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>
      <c r="B12" s="33" t="s">
        <v>85</v>
      </c>
      <c r="C12" s="93">
        <f>diarrhoea_1mo</f>
        <v>4.4007478497399921</v>
      </c>
      <c r="D12" s="93">
        <f>diarrhoea_1_5mo</f>
        <v>4.1294301114399996</v>
      </c>
      <c r="E12" s="93">
        <f>diarrhoea_6_11mo</f>
        <v>4.1294301114399996</v>
      </c>
      <c r="F12" s="93">
        <f>diarrhoea_12_23mo</f>
        <v>2.21557386425</v>
      </c>
      <c r="G12" s="93">
        <f>diarrhoea_24_59mo</f>
        <v>2.21557386425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>
      <c r="B14" s="33"/>
    </row>
    <row r="15" spans="1:15" ht="15.75" customHeight="1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1.3000000000000001E-2</v>
      </c>
      <c r="I15" s="93">
        <f>food_insecure</f>
        <v>1.3000000000000001E-2</v>
      </c>
      <c r="J15" s="93">
        <f>food_insecure</f>
        <v>1.3000000000000001E-2</v>
      </c>
      <c r="K15" s="93">
        <f>food_insecure</f>
        <v>1.3000000000000001E-2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0.82799999999999996</v>
      </c>
      <c r="I18" s="93">
        <f>frac_PW_health_facility</f>
        <v>0.82799999999999996</v>
      </c>
      <c r="J18" s="93">
        <f>frac_PW_health_facility</f>
        <v>0.82799999999999996</v>
      </c>
      <c r="K18" s="93">
        <f>frac_PW_health_facility</f>
        <v>0.82799999999999996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5.0000000000000001E-3</v>
      </c>
      <c r="I19" s="93">
        <f>frac_malaria_risk</f>
        <v>5.0000000000000001E-3</v>
      </c>
      <c r="J19" s="93">
        <f>frac_malaria_risk</f>
        <v>5.0000000000000001E-3</v>
      </c>
      <c r="K19" s="93">
        <f>frac_malaria_risk</f>
        <v>5.0000000000000001E-3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>
      <c r="B23" s="33"/>
    </row>
    <row r="24" spans="1:15" ht="15.75" customHeight="1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</v>
      </c>
      <c r="M24" s="93">
        <f>famplan_unmet_need</f>
        <v>0.2</v>
      </c>
      <c r="N24" s="93">
        <f>famplan_unmet_need</f>
        <v>0.2</v>
      </c>
      <c r="O24" s="93">
        <f>famplan_unmet_need</f>
        <v>0.2</v>
      </c>
    </row>
    <row r="25" spans="1:15" ht="15.75" customHeight="1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9.0641463783264362E-2</v>
      </c>
      <c r="M25" s="93">
        <f>(1-food_insecure)*(0.49)+food_insecure*(0.7)</f>
        <v>0.49273</v>
      </c>
      <c r="N25" s="93">
        <f>(1-food_insecure)*(0.49)+food_insecure*(0.7)</f>
        <v>0.49273</v>
      </c>
      <c r="O25" s="93">
        <f>(1-food_insecure)*(0.49)+food_insecure*(0.7)</f>
        <v>0.49273</v>
      </c>
    </row>
    <row r="26" spans="1:15" ht="15.75" customHeight="1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3.8846341621399015E-2</v>
      </c>
      <c r="M26" s="93">
        <f>(1-food_insecure)*(0.21)+food_insecure*(0.3)</f>
        <v>0.21116999999999997</v>
      </c>
      <c r="N26" s="93">
        <f>(1-food_insecure)*(0.21)+food_insecure*(0.3)</f>
        <v>0.21116999999999997</v>
      </c>
      <c r="O26" s="93">
        <f>(1-food_insecure)*(0.21)+food_insecure*(0.3)</f>
        <v>0.21116999999999997</v>
      </c>
    </row>
    <row r="27" spans="1:15" ht="15.75" customHeight="1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5.4469866714477656E-2</v>
      </c>
      <c r="M27" s="93">
        <f>(1-food_insecure)*(0.3)</f>
        <v>0.29609999999999997</v>
      </c>
      <c r="N27" s="93">
        <f>(1-food_insecure)*(0.3)</f>
        <v>0.29609999999999997</v>
      </c>
      <c r="O27" s="93">
        <f>(1-food_insecure)*(0.3)</f>
        <v>0.29609999999999997</v>
      </c>
    </row>
    <row r="28" spans="1:15" ht="15.75" customHeight="1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0.81604232788085895</v>
      </c>
      <c r="M28" s="93">
        <v>0</v>
      </c>
      <c r="N28" s="93">
        <v>0</v>
      </c>
      <c r="O28" s="93">
        <v>0</v>
      </c>
    </row>
    <row r="29" spans="1:15" ht="15.75" customHeight="1">
      <c r="B29" s="11"/>
      <c r="C29" s="2"/>
      <c r="D29" s="2"/>
      <c r="E29" s="10"/>
      <c r="F29" s="10"/>
      <c r="G29" s="10"/>
      <c r="H29" s="10"/>
      <c r="I29" s="10"/>
    </row>
    <row r="30" spans="1:15" ht="15.75" customHeight="1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>
      <c r="B34" s="11" t="s">
        <v>34</v>
      </c>
      <c r="C34" s="93">
        <f t="shared" ref="C34:O34" si="3">frac_malaria_risk</f>
        <v>5.0000000000000001E-3</v>
      </c>
      <c r="D34" s="93">
        <f t="shared" si="3"/>
        <v>5.0000000000000001E-3</v>
      </c>
      <c r="E34" s="93">
        <f t="shared" si="3"/>
        <v>5.0000000000000001E-3</v>
      </c>
      <c r="F34" s="93">
        <f t="shared" si="3"/>
        <v>5.0000000000000001E-3</v>
      </c>
      <c r="G34" s="93">
        <f t="shared" si="3"/>
        <v>5.0000000000000001E-3</v>
      </c>
      <c r="H34" s="93">
        <f t="shared" si="3"/>
        <v>5.0000000000000001E-3</v>
      </c>
      <c r="I34" s="93">
        <f t="shared" si="3"/>
        <v>5.0000000000000001E-3</v>
      </c>
      <c r="J34" s="93">
        <f t="shared" si="3"/>
        <v>5.0000000000000001E-3</v>
      </c>
      <c r="K34" s="93">
        <f t="shared" si="3"/>
        <v>5.0000000000000001E-3</v>
      </c>
      <c r="L34" s="93">
        <f t="shared" si="3"/>
        <v>5.0000000000000001E-3</v>
      </c>
      <c r="M34" s="93">
        <f t="shared" si="3"/>
        <v>5.0000000000000001E-3</v>
      </c>
      <c r="N34" s="93">
        <f t="shared" si="3"/>
        <v>5.0000000000000001E-3</v>
      </c>
      <c r="O34" s="93">
        <f t="shared" si="3"/>
        <v>5.0000000000000001E-3</v>
      </c>
    </row>
    <row r="35" spans="1:15" ht="15.75" customHeight="1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topLeftCell="A13" zoomScale="85" zoomScaleNormal="85" workbookViewId="0">
      <selection activeCell="J22" sqref="J22"/>
    </sheetView>
  </sheetViews>
  <sheetFormatPr defaultColWidth="12.77734375" defaultRowHeight="13.2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>
      <c r="D18" s="108"/>
      <c r="E18" s="108"/>
      <c r="F18" s="108"/>
      <c r="G18" s="108"/>
      <c r="H18" s="108"/>
    </row>
    <row r="19" spans="1:8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0.78</v>
      </c>
      <c r="H31" s="105">
        <v>1</v>
      </c>
    </row>
    <row r="32" spans="1:8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0.78</v>
      </c>
      <c r="H32" s="105">
        <v>1</v>
      </c>
    </row>
    <row r="33" spans="1:8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>
      <c r="D35" s="108"/>
      <c r="E35" s="108"/>
      <c r="F35" s="108"/>
      <c r="G35" s="108"/>
      <c r="H35" s="108"/>
    </row>
    <row r="36" spans="1:8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>
      <c r="A1" s="111" t="s">
        <v>222</v>
      </c>
    </row>
    <row r="2" spans="1:7" ht="15.75" customHeight="1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>
      <c r="A3" s="40" t="s">
        <v>223</v>
      </c>
      <c r="B3" s="116"/>
      <c r="C3" s="117"/>
      <c r="D3" s="118"/>
      <c r="E3" s="118"/>
      <c r="F3" s="118"/>
    </row>
    <row r="4" spans="1:7" ht="15.75" customHeight="1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>
      <c r="C8" s="122"/>
      <c r="D8" s="106"/>
      <c r="E8" s="106"/>
      <c r="F8" s="106"/>
    </row>
    <row r="9" spans="1:7" ht="15.75" customHeight="1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>
      <c r="C10" s="122"/>
      <c r="D10" s="106"/>
      <c r="E10" s="106"/>
      <c r="F10" s="106"/>
      <c r="G10" s="123"/>
    </row>
    <row r="11" spans="1:7" s="112" customFormat="1" ht="15" customHeight="1">
      <c r="A11" s="111" t="s">
        <v>225</v>
      </c>
      <c r="C11" s="124"/>
      <c r="D11" s="125"/>
      <c r="E11" s="125"/>
      <c r="F11" s="125"/>
      <c r="G11" s="126"/>
    </row>
    <row r="12" spans="1:7" ht="15.75" customHeight="1">
      <c r="A12" s="40" t="s">
        <v>226</v>
      </c>
      <c r="C12" s="122"/>
      <c r="D12" s="106"/>
      <c r="E12" s="106"/>
      <c r="F12" s="106"/>
      <c r="G12" s="123"/>
    </row>
    <row r="13" spans="1:7" ht="15.75" customHeight="1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>
      <c r="A16" s="40"/>
      <c r="B16" s="127"/>
      <c r="C16" s="128"/>
      <c r="D16" s="106"/>
      <c r="E16" s="106"/>
      <c r="F16" s="106"/>
      <c r="G16" s="123"/>
    </row>
    <row r="17" spans="1:7" ht="15.75" customHeight="1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>
      <c r="B26" s="127"/>
    </row>
    <row r="28" spans="1:7" ht="15.75" customHeight="1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75" zoomScaleNormal="100" workbookViewId="0">
      <selection activeCell="J22" sqref="J22"/>
    </sheetView>
  </sheetViews>
  <sheetFormatPr defaultColWidth="12.77734375" defaultRowHeight="13.2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>
      <c r="A1" s="111" t="s">
        <v>231</v>
      </c>
    </row>
    <row r="2" spans="1:16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>
      <c r="A28" s="111" t="s">
        <v>238</v>
      </c>
    </row>
    <row r="29" spans="1:16" s="36" customFormat="1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>
      <c r="C54" s="43"/>
      <c r="D54" s="43"/>
    </row>
    <row r="55" spans="1:16" s="112" customFormat="1">
      <c r="A55" s="111" t="s">
        <v>241</v>
      </c>
    </row>
    <row r="56" spans="1:16" s="36" customFormat="1" ht="26.4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>
      <c r="C63" s="43"/>
      <c r="D63" s="43"/>
    </row>
    <row r="64" spans="1:16" s="112" customFormat="1">
      <c r="A64" s="111" t="s">
        <v>245</v>
      </c>
    </row>
    <row r="65" spans="1:16" s="36" customFormat="1" ht="26.4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>
      <c r="A103" s="111" t="s">
        <v>247</v>
      </c>
    </row>
    <row r="104" spans="1:16" s="36" customFormat="1" ht="26.4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>
      <c r="A2" s="92">
        <f>start_year</f>
        <v>2020</v>
      </c>
      <c r="B2" s="74">
        <v>2584684</v>
      </c>
      <c r="C2" s="75">
        <v>4307000</v>
      </c>
      <c r="D2" s="75">
        <v>7873000</v>
      </c>
      <c r="E2" s="75">
        <v>7750000</v>
      </c>
      <c r="F2" s="75">
        <v>5703000</v>
      </c>
      <c r="G2" s="22">
        <f t="shared" ref="G2:G40" si="0">C2+D2+E2+F2</f>
        <v>25633000</v>
      </c>
      <c r="H2" s="22">
        <f t="shared" ref="H2:H40" si="1">(B2 + stillbirth*B2/(1000-stillbirth))/(1-abortion)</f>
        <v>3007593.7937085312</v>
      </c>
      <c r="I2" s="22">
        <f>G2-H2</f>
        <v>22625406.206291467</v>
      </c>
    </row>
    <row r="3" spans="1:9" ht="15.75" customHeight="1">
      <c r="A3" s="92">
        <f t="shared" ref="A3:A40" si="2">IF($A$2+ROW(A3)-2&lt;=end_year,A2+1,"")</f>
        <v>2021</v>
      </c>
      <c r="B3" s="74">
        <v>2578046</v>
      </c>
      <c r="C3" s="75">
        <v>4379000</v>
      </c>
      <c r="D3" s="75">
        <v>7881000</v>
      </c>
      <c r="E3" s="75">
        <v>7892000</v>
      </c>
      <c r="F3" s="75">
        <v>5909000</v>
      </c>
      <c r="G3" s="22">
        <f t="shared" si="0"/>
        <v>26061000</v>
      </c>
      <c r="H3" s="22">
        <f t="shared" si="1"/>
        <v>2999869.6743954406</v>
      </c>
      <c r="I3" s="22">
        <f t="shared" ref="I3:I15" si="3">G3-H3</f>
        <v>23061130.325604558</v>
      </c>
    </row>
    <row r="4" spans="1:9" ht="15.75" customHeight="1">
      <c r="A4" s="92">
        <f t="shared" si="2"/>
        <v>2022</v>
      </c>
      <c r="B4" s="74" t="e">
        <v>#N/A</v>
      </c>
      <c r="C4" s="75">
        <v>4424000</v>
      </c>
      <c r="D4" s="75">
        <v>7905000</v>
      </c>
      <c r="E4" s="75">
        <v>7976000</v>
      </c>
      <c r="F4" s="75">
        <v>6111000</v>
      </c>
      <c r="G4" s="22">
        <f t="shared" si="0"/>
        <v>26416000</v>
      </c>
      <c r="H4" s="22" t="e">
        <f t="shared" si="1"/>
        <v>#N/A</v>
      </c>
      <c r="I4" s="22" t="e">
        <f t="shared" si="3"/>
        <v>#N/A</v>
      </c>
    </row>
    <row r="5" spans="1:9" ht="15.75" customHeight="1">
      <c r="A5" s="92" t="str">
        <f t="shared" si="2"/>
        <v/>
      </c>
      <c r="B5" s="74">
        <v>2386877.3855999992</v>
      </c>
      <c r="C5" s="75">
        <v>4470000</v>
      </c>
      <c r="D5" s="75">
        <v>7951000</v>
      </c>
      <c r="E5" s="75">
        <v>8012000</v>
      </c>
      <c r="F5" s="75">
        <v>6313000</v>
      </c>
      <c r="G5" s="22">
        <f t="shared" si="0"/>
        <v>26746000</v>
      </c>
      <c r="H5" s="22">
        <f t="shared" si="1"/>
        <v>2777421.7704267921</v>
      </c>
      <c r="I5" s="22">
        <f t="shared" si="3"/>
        <v>23968578.229573209</v>
      </c>
    </row>
    <row r="6" spans="1:9" ht="15.75" customHeight="1">
      <c r="A6" s="92" t="str">
        <f t="shared" si="2"/>
        <v/>
      </c>
      <c r="B6" s="74">
        <v>2373041.5199999996</v>
      </c>
      <c r="C6" s="75">
        <v>4562000</v>
      </c>
      <c r="D6" s="75">
        <v>8017000</v>
      </c>
      <c r="E6" s="75">
        <v>8013000</v>
      </c>
      <c r="F6" s="75">
        <v>6525000</v>
      </c>
      <c r="G6" s="22">
        <f t="shared" si="0"/>
        <v>27117000</v>
      </c>
      <c r="H6" s="22">
        <f t="shared" si="1"/>
        <v>2761322.0601685382</v>
      </c>
      <c r="I6" s="22">
        <f t="shared" si="3"/>
        <v>24355677.939831462</v>
      </c>
    </row>
    <row r="7" spans="1:9" ht="15.75" customHeight="1">
      <c r="A7" s="92" t="str">
        <f t="shared" si="2"/>
        <v/>
      </c>
      <c r="B7" s="74">
        <v>2357388.7080000001</v>
      </c>
      <c r="C7" s="75">
        <v>4722000</v>
      </c>
      <c r="D7" s="75">
        <v>8105000</v>
      </c>
      <c r="E7" s="75">
        <v>7988000</v>
      </c>
      <c r="F7" s="75">
        <v>6749000</v>
      </c>
      <c r="G7" s="22">
        <f t="shared" si="0"/>
        <v>27564000</v>
      </c>
      <c r="H7" s="22">
        <f t="shared" si="1"/>
        <v>2743108.1120707109</v>
      </c>
      <c r="I7" s="22">
        <f t="shared" si="3"/>
        <v>24820891.887929291</v>
      </c>
    </row>
    <row r="8" spans="1:9" ht="15.75" customHeight="1">
      <c r="A8" s="92" t="str">
        <f t="shared" si="2"/>
        <v/>
      </c>
      <c r="B8" s="74">
        <v>2371204.7999999998</v>
      </c>
      <c r="C8" s="75">
        <v>4932000</v>
      </c>
      <c r="D8" s="75">
        <v>8204000</v>
      </c>
      <c r="E8" s="75">
        <v>7941000</v>
      </c>
      <c r="F8" s="75">
        <v>6959000</v>
      </c>
      <c r="G8" s="22">
        <f t="shared" si="0"/>
        <v>28036000</v>
      </c>
      <c r="H8" s="22">
        <f t="shared" si="1"/>
        <v>2759184.8133434798</v>
      </c>
      <c r="I8" s="22">
        <f t="shared" si="3"/>
        <v>25276815.18665652</v>
      </c>
    </row>
    <row r="9" spans="1:9" ht="15.75" customHeight="1">
      <c r="A9" s="92" t="str">
        <f t="shared" si="2"/>
        <v/>
      </c>
      <c r="B9" s="74">
        <v>2384230.932</v>
      </c>
      <c r="C9" s="75">
        <v>5210000</v>
      </c>
      <c r="D9" s="75">
        <v>8317000</v>
      </c>
      <c r="E9" s="75">
        <v>7869000</v>
      </c>
      <c r="F9" s="75">
        <v>7178000</v>
      </c>
      <c r="G9" s="22">
        <f t="shared" si="0"/>
        <v>28574000</v>
      </c>
      <c r="H9" s="22">
        <f t="shared" si="1"/>
        <v>2774342.3002003757</v>
      </c>
      <c r="I9" s="22">
        <f t="shared" si="3"/>
        <v>25799657.699799623</v>
      </c>
    </row>
    <row r="10" spans="1:9" ht="15.75" customHeight="1">
      <c r="A10" s="92" t="str">
        <f t="shared" si="2"/>
        <v/>
      </c>
      <c r="B10" s="74">
        <v>2396574.5360000003</v>
      </c>
      <c r="C10" s="75">
        <v>5511000</v>
      </c>
      <c r="D10" s="75">
        <v>8458000</v>
      </c>
      <c r="E10" s="75">
        <v>7786000</v>
      </c>
      <c r="F10" s="75">
        <v>7394000</v>
      </c>
      <c r="G10" s="22">
        <f t="shared" si="0"/>
        <v>29149000</v>
      </c>
      <c r="H10" s="22">
        <f t="shared" si="1"/>
        <v>2788705.5828230856</v>
      </c>
      <c r="I10" s="22">
        <f t="shared" si="3"/>
        <v>26360294.417176913</v>
      </c>
    </row>
    <row r="11" spans="1:9" ht="15.75" customHeight="1">
      <c r="A11" s="92" t="str">
        <f t="shared" si="2"/>
        <v/>
      </c>
      <c r="B11" s="74">
        <v>2408400.4720000005</v>
      </c>
      <c r="C11" s="75">
        <v>5767000</v>
      </c>
      <c r="D11" s="75">
        <v>8642000</v>
      </c>
      <c r="E11" s="75">
        <v>7714000</v>
      </c>
      <c r="F11" s="75">
        <v>7585000</v>
      </c>
      <c r="G11" s="22">
        <f t="shared" si="0"/>
        <v>29708000</v>
      </c>
      <c r="H11" s="22">
        <f t="shared" si="1"/>
        <v>2802466.4958470357</v>
      </c>
      <c r="I11" s="22">
        <f t="shared" si="3"/>
        <v>26905533.504152965</v>
      </c>
    </row>
    <row r="12" spans="1:9" ht="15.75" customHeight="1">
      <c r="A12" s="92" t="str">
        <f t="shared" si="2"/>
        <v/>
      </c>
      <c r="B12" s="74">
        <v>2419827.1680000001</v>
      </c>
      <c r="C12" s="75">
        <v>5933000</v>
      </c>
      <c r="D12" s="75">
        <v>8878000</v>
      </c>
      <c r="E12" s="75">
        <v>7668000</v>
      </c>
      <c r="F12" s="75">
        <v>7737000</v>
      </c>
      <c r="G12" s="22">
        <f t="shared" si="0"/>
        <v>30216000</v>
      </c>
      <c r="H12" s="22">
        <f t="shared" si="1"/>
        <v>2815762.8446355886</v>
      </c>
      <c r="I12" s="22">
        <f t="shared" si="3"/>
        <v>27400237.155364413</v>
      </c>
    </row>
    <row r="13" spans="1:9" ht="15.75" customHeight="1">
      <c r="A13" s="92" t="str">
        <f t="shared" si="2"/>
        <v/>
      </c>
      <c r="B13" s="74">
        <v>4234000</v>
      </c>
      <c r="C13" s="75">
        <v>7919000</v>
      </c>
      <c r="D13" s="75">
        <v>7608000</v>
      </c>
      <c r="E13" s="75">
        <v>5515000</v>
      </c>
      <c r="F13" s="75">
        <v>6.5359978999999999E-2</v>
      </c>
      <c r="G13" s="22">
        <f t="shared" si="0"/>
        <v>21042000.06535998</v>
      </c>
      <c r="H13" s="22">
        <f t="shared" si="1"/>
        <v>4926773.3009381117</v>
      </c>
      <c r="I13" s="22">
        <f t="shared" si="3"/>
        <v>16115226.764421869</v>
      </c>
    </row>
    <row r="14" spans="1:9" ht="15.75" customHeight="1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>
      <c r="A1" s="111" t="s">
        <v>248</v>
      </c>
    </row>
    <row r="2" spans="1:7" ht="14.25" customHeight="1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>
      <c r="A5" s="116" t="s">
        <v>252</v>
      </c>
    </row>
    <row r="6" spans="1:7" ht="14.25" customHeight="1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>
      <c r="B9" s="131"/>
      <c r="C9" s="131"/>
      <c r="D9" s="131"/>
      <c r="E9" s="131"/>
      <c r="F9" s="131"/>
      <c r="G9" s="131"/>
    </row>
    <row r="10" spans="1:7" s="112" customFormat="1" ht="14.25" customHeight="1">
      <c r="A10" s="111" t="s">
        <v>253</v>
      </c>
    </row>
    <row r="11" spans="1:7" ht="14.25" customHeight="1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>
      <c r="A12" s="116"/>
      <c r="B12" s="127"/>
    </row>
    <row r="13" spans="1:7" s="112" customFormat="1" ht="14.25" customHeight="1">
      <c r="A13" s="111" t="s">
        <v>254</v>
      </c>
    </row>
    <row r="14" spans="1:7" ht="14.25" customHeight="1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/>
    <row r="18" spans="1:6" s="112" customFormat="1" ht="14.25" customHeight="1">
      <c r="A18" s="111" t="s">
        <v>258</v>
      </c>
    </row>
    <row r="19" spans="1:6" s="116" customFormat="1" ht="14.25" customHeight="1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>
      <c r="A19" s="98"/>
    </row>
    <row r="20" spans="1:1" ht="15.75" customHeight="1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>
      <c r="A2" s="40" t="s">
        <v>261</v>
      </c>
    </row>
    <row r="3" spans="1:1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>
      <c r="A16" s="40" t="s">
        <v>262</v>
      </c>
      <c r="B16" s="61"/>
    </row>
    <row r="17" spans="2:1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>
      <c r="B25" s="43"/>
    </row>
    <row r="26" spans="2:15">
      <c r="B26" s="43"/>
    </row>
    <row r="27" spans="2:15">
      <c r="B27" s="43"/>
    </row>
    <row r="28" spans="2:1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>
      <c r="A2" s="40" t="s">
        <v>263</v>
      </c>
    </row>
    <row r="3" spans="1:7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>
      <c r="A4" s="40" t="s">
        <v>264</v>
      </c>
      <c r="B4" s="61"/>
      <c r="C4" s="141"/>
      <c r="D4" s="143"/>
      <c r="E4" s="143"/>
      <c r="F4" s="143"/>
      <c r="G4" s="143"/>
    </row>
    <row r="5" spans="1:7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/>
  <sheetData>
    <row r="1" spans="1:1">
      <c r="A1" s="12" t="s">
        <v>201</v>
      </c>
    </row>
    <row r="2" spans="1:1">
      <c r="A2" s="12" t="s">
        <v>202</v>
      </c>
    </row>
    <row r="3" spans="1:1">
      <c r="A3" s="12" t="s">
        <v>203</v>
      </c>
    </row>
    <row r="4" spans="1:1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/>
  <cols>
    <col min="1" max="1" width="16.109375" customWidth="1"/>
    <col min="2" max="2" width="31.33203125" customWidth="1"/>
    <col min="3" max="8" width="13" customWidth="1"/>
  </cols>
  <sheetData>
    <row r="1" spans="1:8" ht="27.75" customHeight="1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>
      <c r="B3" s="24" t="s">
        <v>73</v>
      </c>
      <c r="C3" s="76">
        <v>6.5359978999999999E-2</v>
      </c>
    </row>
    <row r="4" spans="1:8" ht="15.75" customHeight="1">
      <c r="B4" s="24" t="s">
        <v>7</v>
      </c>
      <c r="C4" s="76">
        <v>3.171072158590612E-2</v>
      </c>
    </row>
    <row r="5" spans="1:8" ht="15.75" customHeight="1">
      <c r="B5" s="24" t="s">
        <v>8</v>
      </c>
      <c r="C5" s="76">
        <v>0.2134117148649359</v>
      </c>
    </row>
    <row r="6" spans="1:8" ht="15.75" customHeight="1">
      <c r="B6" s="24" t="s">
        <v>10</v>
      </c>
      <c r="C6" s="76">
        <v>6.9063758588739158E-2</v>
      </c>
    </row>
    <row r="7" spans="1:8" ht="15.75" customHeight="1">
      <c r="B7" s="24" t="s">
        <v>13</v>
      </c>
      <c r="C7" s="76">
        <v>0.19251064341802926</v>
      </c>
    </row>
    <row r="8" spans="1:8" ht="15.75" customHeight="1">
      <c r="B8" s="24" t="s">
        <v>14</v>
      </c>
      <c r="C8" s="76">
        <v>9.8431481519865318E-4</v>
      </c>
    </row>
    <row r="9" spans="1:8" ht="15.75" customHeight="1">
      <c r="B9" s="24" t="s">
        <v>27</v>
      </c>
      <c r="C9" s="76">
        <v>0.24421704354532775</v>
      </c>
    </row>
    <row r="10" spans="1:8" ht="15.75" customHeight="1">
      <c r="B10" s="24" t="s">
        <v>15</v>
      </c>
      <c r="C10" s="76">
        <v>0.18274182418186324</v>
      </c>
    </row>
    <row r="11" spans="1:8" ht="15.75" customHeight="1">
      <c r="B11" s="32" t="s">
        <v>129</v>
      </c>
      <c r="C11" s="91">
        <f>SUM(C3:C10)</f>
        <v>1</v>
      </c>
      <c r="G11" s="24"/>
      <c r="H11" s="24"/>
    </row>
    <row r="12" spans="1:8" ht="15.75" customHeight="1">
      <c r="B12" s="32"/>
      <c r="C12" s="24"/>
      <c r="D12" s="24"/>
      <c r="E12" s="24"/>
      <c r="F12" s="24"/>
      <c r="G12" s="24"/>
      <c r="H12" s="24"/>
    </row>
    <row r="13" spans="1:8" ht="15.75" customHeight="1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>
      <c r="B14" s="24" t="s">
        <v>71</v>
      </c>
      <c r="C14" s="76">
        <v>0.240540723126765</v>
      </c>
      <c r="D14" s="76">
        <v>0.240540723126765</v>
      </c>
      <c r="E14" s="76">
        <v>0.137349509096935</v>
      </c>
      <c r="F14" s="76">
        <v>0.137349509096935</v>
      </c>
    </row>
    <row r="15" spans="1:8" ht="15.75" customHeight="1">
      <c r="B15" s="24" t="s">
        <v>16</v>
      </c>
      <c r="C15" s="76">
        <v>0.29608251547840198</v>
      </c>
      <c r="D15" s="76">
        <v>0.29608251547840198</v>
      </c>
      <c r="E15" s="76">
        <v>0.228640996587302</v>
      </c>
      <c r="F15" s="76">
        <v>0.228640996587302</v>
      </c>
    </row>
    <row r="16" spans="1:8" ht="15.75" customHeight="1">
      <c r="B16" s="24" t="s">
        <v>17</v>
      </c>
      <c r="C16" s="76">
        <v>8.2990744429340194E-3</v>
      </c>
      <c r="D16" s="76">
        <v>8.2990744429340194E-3</v>
      </c>
      <c r="E16" s="76">
        <v>7.9276174011641293E-3</v>
      </c>
      <c r="F16" s="76">
        <v>7.9276174011641293E-3</v>
      </c>
    </row>
    <row r="17" spans="1:8" ht="15.75" customHeight="1">
      <c r="B17" s="24" t="s">
        <v>18</v>
      </c>
      <c r="C17" s="76">
        <v>1.1767317298102601E-3</v>
      </c>
      <c r="D17" s="76">
        <v>1.1767317298102601E-3</v>
      </c>
      <c r="E17" s="76">
        <v>5.6889512526633905E-3</v>
      </c>
      <c r="F17" s="76">
        <v>5.6889512526633905E-3</v>
      </c>
    </row>
    <row r="18" spans="1:8" ht="15.75" customHeight="1">
      <c r="B18" s="24" t="s">
        <v>19</v>
      </c>
      <c r="C18" s="76">
        <v>0</v>
      </c>
      <c r="D18" s="76">
        <v>0</v>
      </c>
      <c r="E18" s="76">
        <v>0</v>
      </c>
      <c r="F18" s="76">
        <v>0</v>
      </c>
    </row>
    <row r="19" spans="1:8" ht="15.75" customHeight="1">
      <c r="B19" s="24" t="s">
        <v>20</v>
      </c>
      <c r="C19" s="76">
        <v>9.1483946534161101E-3</v>
      </c>
      <c r="D19" s="76">
        <v>9.1483946534161101E-3</v>
      </c>
      <c r="E19" s="76">
        <v>1.8460568912530201E-2</v>
      </c>
      <c r="F19" s="76">
        <v>1.8460568912530201E-2</v>
      </c>
    </row>
    <row r="20" spans="1:8" ht="15.75" customHeight="1">
      <c r="B20" s="24" t="s">
        <v>21</v>
      </c>
      <c r="C20" s="76">
        <v>7.1222859931964697E-5</v>
      </c>
      <c r="D20" s="76">
        <v>7.1222859931964697E-5</v>
      </c>
      <c r="E20" s="76">
        <v>6.9373558858081897E-4</v>
      </c>
      <c r="F20" s="76">
        <v>6.9373558858081897E-4</v>
      </c>
    </row>
    <row r="21" spans="1:8" ht="15.75" customHeight="1">
      <c r="B21" s="24" t="s">
        <v>22</v>
      </c>
      <c r="C21" s="76">
        <v>4.2200197156400901E-2</v>
      </c>
      <c r="D21" s="76">
        <v>4.2200197156400901E-2</v>
      </c>
      <c r="E21" s="76">
        <v>0.21588254422052899</v>
      </c>
      <c r="F21" s="76">
        <v>0.21588254422052899</v>
      </c>
    </row>
    <row r="22" spans="1:8" ht="15.75" customHeight="1">
      <c r="B22" s="24" t="s">
        <v>23</v>
      </c>
      <c r="C22" s="76">
        <v>0.40248114055233974</v>
      </c>
      <c r="D22" s="76">
        <v>0.40248114055233974</v>
      </c>
      <c r="E22" s="76">
        <v>0.3853560769402955</v>
      </c>
      <c r="F22" s="76">
        <v>0.3853560769402955</v>
      </c>
    </row>
    <row r="23" spans="1:8" ht="15.75" customHeight="1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>
      <c r="B24" s="32"/>
      <c r="C24" s="24"/>
      <c r="D24" s="24"/>
      <c r="E24" s="24"/>
      <c r="F24" s="24"/>
      <c r="G24" s="24"/>
      <c r="H24" s="24"/>
    </row>
    <row r="25" spans="1:8" ht="15.75" customHeight="1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>
      <c r="B26" s="24" t="s">
        <v>38</v>
      </c>
      <c r="C26" s="76">
        <v>2.7000000000000003E-2</v>
      </c>
    </row>
    <row r="27" spans="1:8" ht="15.75" customHeight="1">
      <c r="B27" s="24" t="s">
        <v>39</v>
      </c>
      <c r="C27" s="76">
        <v>1.6299999999999999E-2</v>
      </c>
    </row>
    <row r="28" spans="1:8" ht="15.75" customHeight="1">
      <c r="B28" s="24" t="s">
        <v>40</v>
      </c>
      <c r="C28" s="76">
        <v>0.42579999999999996</v>
      </c>
    </row>
    <row r="29" spans="1:8" ht="15.75" customHeight="1">
      <c r="B29" s="24" t="s">
        <v>41</v>
      </c>
      <c r="C29" s="76">
        <v>0.1953</v>
      </c>
    </row>
    <row r="30" spans="1:8" ht="15.75" customHeight="1">
      <c r="B30" s="24" t="s">
        <v>42</v>
      </c>
      <c r="C30" s="76">
        <v>4.87E-2</v>
      </c>
    </row>
    <row r="31" spans="1:8" ht="15.75" customHeight="1">
      <c r="B31" s="24" t="s">
        <v>43</v>
      </c>
      <c r="C31" s="76">
        <v>2.35E-2</v>
      </c>
    </row>
    <row r="32" spans="1:8" ht="15.75" customHeight="1">
      <c r="B32" s="24" t="s">
        <v>44</v>
      </c>
      <c r="C32" s="76">
        <v>7.8000000000000005E-3</v>
      </c>
    </row>
    <row r="33" spans="2:3" ht="15.75" customHeight="1">
      <c r="B33" s="24" t="s">
        <v>45</v>
      </c>
      <c r="C33" s="76">
        <v>0.13109999999999999</v>
      </c>
    </row>
    <row r="34" spans="2:3" ht="15.75" customHeight="1">
      <c r="B34" s="24" t="s">
        <v>46</v>
      </c>
      <c r="C34" s="76">
        <v>0.1245</v>
      </c>
    </row>
    <row r="35" spans="2:3" ht="15.75" customHeight="1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/>
  <cols>
    <col min="1" max="1" width="31.44140625" customWidth="1"/>
    <col min="2" max="2" width="24" customWidth="1"/>
  </cols>
  <sheetData>
    <row r="1" spans="1:15" ht="36" customHeight="1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>
      <c r="A2" s="6" t="s">
        <v>115</v>
      </c>
      <c r="B2" s="11" t="s">
        <v>117</v>
      </c>
      <c r="C2" s="77">
        <v>0.58698401211706108</v>
      </c>
      <c r="D2" s="77">
        <v>0.60009999999999997</v>
      </c>
      <c r="E2" s="77">
        <v>0.66079999999999994</v>
      </c>
      <c r="F2" s="77">
        <v>0.56430000000000002</v>
      </c>
      <c r="G2" s="77">
        <v>0.55689999999999995</v>
      </c>
    </row>
    <row r="3" spans="1:15" ht="15.75" customHeight="1">
      <c r="A3" s="5"/>
      <c r="B3" s="11" t="s">
        <v>118</v>
      </c>
      <c r="C3" s="77">
        <v>0.18659999999999999</v>
      </c>
      <c r="D3" s="77">
        <v>0.18659999999999999</v>
      </c>
      <c r="E3" s="77">
        <v>0.1532</v>
      </c>
      <c r="F3" s="77">
        <v>0.18479999999999999</v>
      </c>
      <c r="G3" s="77">
        <v>0.21710000000000002</v>
      </c>
    </row>
    <row r="4" spans="1:15" ht="15.75" customHeight="1">
      <c r="A4" s="5"/>
      <c r="B4" s="11" t="s">
        <v>116</v>
      </c>
      <c r="C4" s="78">
        <v>0.1047</v>
      </c>
      <c r="D4" s="78">
        <v>0.1048</v>
      </c>
      <c r="E4" s="78">
        <v>8.7499999999999994E-2</v>
      </c>
      <c r="F4" s="78">
        <v>0.11939999999999999</v>
      </c>
      <c r="G4" s="78">
        <v>0.1216</v>
      </c>
    </row>
    <row r="5" spans="1:15" ht="15.75" customHeight="1">
      <c r="A5" s="5"/>
      <c r="B5" s="11" t="s">
        <v>119</v>
      </c>
      <c r="C5" s="78">
        <v>0.1085</v>
      </c>
      <c r="D5" s="78">
        <v>0.10859999999999999</v>
      </c>
      <c r="E5" s="78">
        <v>9.8400000000000001E-2</v>
      </c>
      <c r="F5" s="78">
        <v>0.13150000000000001</v>
      </c>
      <c r="G5" s="78">
        <v>0.10439999999999999</v>
      </c>
    </row>
    <row r="6" spans="1:15" ht="15.75" customHeight="1">
      <c r="B6" s="14"/>
      <c r="C6" s="29"/>
      <c r="D6" s="29"/>
      <c r="E6" s="29"/>
      <c r="F6" s="29"/>
      <c r="G6" s="29"/>
    </row>
    <row r="7" spans="1:15" ht="15.75" customHeight="1">
      <c r="B7" s="14"/>
      <c r="C7" s="29"/>
      <c r="D7" s="29"/>
      <c r="E7" s="29"/>
      <c r="F7" s="29"/>
      <c r="G7" s="29"/>
    </row>
    <row r="8" spans="1:15" ht="15.75" customHeight="1">
      <c r="A8" s="3" t="s">
        <v>114</v>
      </c>
      <c r="B8" s="7" t="s">
        <v>120</v>
      </c>
      <c r="C8" s="77">
        <v>0.74219999999999997</v>
      </c>
      <c r="D8" s="77">
        <v>0.74219999999999997</v>
      </c>
      <c r="E8" s="77">
        <v>0.73980000000000001</v>
      </c>
      <c r="F8" s="77">
        <v>0.81099999999999994</v>
      </c>
      <c r="G8" s="77">
        <v>0.83569999999999989</v>
      </c>
    </row>
    <row r="9" spans="1:15" ht="15.75" customHeight="1">
      <c r="B9" s="7" t="s">
        <v>121</v>
      </c>
      <c r="C9" s="77">
        <v>9.9700000000000011E-2</v>
      </c>
      <c r="D9" s="77">
        <v>9.9700000000000011E-2</v>
      </c>
      <c r="E9" s="77">
        <v>0.13390000000000002</v>
      </c>
      <c r="F9" s="77">
        <v>8.7499999999999994E-2</v>
      </c>
      <c r="G9" s="77">
        <v>8.8200000000000001E-2</v>
      </c>
    </row>
    <row r="10" spans="1:15" ht="15.75" customHeight="1">
      <c r="B10" s="7" t="s">
        <v>122</v>
      </c>
      <c r="C10" s="78">
        <v>6.7299999999999999E-2</v>
      </c>
      <c r="D10" s="78">
        <v>6.7299999999999999E-2</v>
      </c>
      <c r="E10" s="78">
        <v>5.2499999999999998E-2</v>
      </c>
      <c r="F10" s="78">
        <v>5.5899999999999998E-2</v>
      </c>
      <c r="G10" s="78">
        <v>3.9399999999999998E-2</v>
      </c>
    </row>
    <row r="11" spans="1:15" ht="15.75" customHeight="1">
      <c r="B11" s="7" t="s">
        <v>123</v>
      </c>
      <c r="C11" s="78">
        <v>9.0800000000000006E-2</v>
      </c>
      <c r="D11" s="78">
        <v>9.0800000000000006E-2</v>
      </c>
      <c r="E11" s="78">
        <v>7.3700000000000002E-2</v>
      </c>
      <c r="F11" s="78">
        <v>4.5599999999999995E-2</v>
      </c>
      <c r="G11" s="78">
        <v>3.6699999999999997E-2</v>
      </c>
    </row>
    <row r="12" spans="1:15" ht="15.75" customHeight="1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>
      <c r="B14" s="16" t="s">
        <v>131</v>
      </c>
      <c r="C14" s="79">
        <v>0.53595509000000008</v>
      </c>
      <c r="D14" s="79">
        <v>0.52223759440999995</v>
      </c>
      <c r="E14" s="79">
        <v>0.52223759440999995</v>
      </c>
      <c r="F14" s="79">
        <v>0.30702391420699998</v>
      </c>
      <c r="G14" s="79">
        <v>0.30702391420699998</v>
      </c>
      <c r="H14" s="80">
        <v>0.23388999999999999</v>
      </c>
      <c r="I14" s="80">
        <v>0.23388999999999999</v>
      </c>
      <c r="J14" s="80">
        <v>0.23388999999999999</v>
      </c>
      <c r="K14" s="80">
        <v>0.23388999999999999</v>
      </c>
      <c r="L14" s="80">
        <v>0.28334999999999999</v>
      </c>
      <c r="M14" s="80">
        <v>0.28334999999999999</v>
      </c>
      <c r="N14" s="80">
        <v>0.28334999999999999</v>
      </c>
      <c r="O14" s="80">
        <v>0.28334999999999999</v>
      </c>
    </row>
    <row r="15" spans="1:15" ht="15.75" customHeight="1">
      <c r="B15" s="16" t="s">
        <v>68</v>
      </c>
      <c r="C15" s="77">
        <f t="shared" ref="C15:O15" si="0">iron_deficiency_anaemia*C14</f>
        <v>0.28488092373156337</v>
      </c>
      <c r="D15" s="77">
        <f t="shared" si="0"/>
        <v>0.27758954262916002</v>
      </c>
      <c r="E15" s="77">
        <f t="shared" si="0"/>
        <v>0.27758954262916002</v>
      </c>
      <c r="F15" s="77">
        <f t="shared" si="0"/>
        <v>0.16319512197742242</v>
      </c>
      <c r="G15" s="77">
        <f t="shared" si="0"/>
        <v>0.16319512197742242</v>
      </c>
      <c r="H15" s="77">
        <f t="shared" si="0"/>
        <v>0.12432160920717321</v>
      </c>
      <c r="I15" s="77">
        <f t="shared" si="0"/>
        <v>0.12432160920717321</v>
      </c>
      <c r="J15" s="77">
        <f t="shared" si="0"/>
        <v>0.12432160920717321</v>
      </c>
      <c r="K15" s="77">
        <f t="shared" si="0"/>
        <v>0.12432160920717321</v>
      </c>
      <c r="L15" s="77">
        <f t="shared" si="0"/>
        <v>0.1506115181018963</v>
      </c>
      <c r="M15" s="77">
        <f t="shared" si="0"/>
        <v>0.1506115181018963</v>
      </c>
      <c r="N15" s="77">
        <f t="shared" si="0"/>
        <v>0.1506115181018963</v>
      </c>
      <c r="O15" s="77">
        <f t="shared" si="0"/>
        <v>0.1506115181018963</v>
      </c>
    </row>
    <row r="16" spans="1:15" ht="15.75" customHeight="1">
      <c r="C16" s="8"/>
      <c r="D16" s="8"/>
      <c r="E16" s="8"/>
      <c r="F16" s="8"/>
      <c r="G16" s="8"/>
    </row>
    <row r="17" spans="3:7" ht="15.75" customHeight="1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/>
  <cols>
    <col min="1" max="1" width="28.77734375" customWidth="1"/>
    <col min="2" max="7" width="13.44140625" customWidth="1"/>
  </cols>
  <sheetData>
    <row r="1" spans="1:7" ht="40.5" customHeight="1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>
      <c r="A2" s="3" t="s">
        <v>24</v>
      </c>
      <c r="B2" s="43" t="s">
        <v>166</v>
      </c>
      <c r="C2" s="78">
        <v>0.69879999999999998</v>
      </c>
      <c r="D2" s="78">
        <v>0.33990000000000004</v>
      </c>
      <c r="E2" s="78">
        <v>0</v>
      </c>
      <c r="F2" s="78">
        <v>0</v>
      </c>
      <c r="G2" s="78">
        <v>0</v>
      </c>
    </row>
    <row r="3" spans="1:7">
      <c r="B3" s="43" t="s">
        <v>167</v>
      </c>
      <c r="C3" s="78">
        <v>0.157</v>
      </c>
      <c r="D3" s="78">
        <v>0.3075</v>
      </c>
      <c r="E3" s="78">
        <v>0</v>
      </c>
      <c r="F3" s="78">
        <v>0</v>
      </c>
      <c r="G3" s="78">
        <v>0</v>
      </c>
    </row>
    <row r="4" spans="1:7">
      <c r="B4" s="43" t="s">
        <v>168</v>
      </c>
      <c r="C4" s="78">
        <v>0.1096</v>
      </c>
      <c r="D4" s="78">
        <v>0.27940000000000004</v>
      </c>
      <c r="E4" s="78">
        <v>0</v>
      </c>
      <c r="F4" s="78">
        <v>0</v>
      </c>
      <c r="G4" s="78">
        <v>0</v>
      </c>
    </row>
    <row r="5" spans="1:7">
      <c r="B5" s="43" t="s">
        <v>169</v>
      </c>
      <c r="C5" s="77">
        <f>1-SUM(C2:C4)</f>
        <v>3.4599999999999964E-2</v>
      </c>
      <c r="D5" s="77">
        <f t="shared" ref="D5:G5" si="0">1-SUM(D2:D4)</f>
        <v>7.3199999999999932E-2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/>
  <cols>
    <col min="1" max="1" width="37" customWidth="1"/>
    <col min="2" max="2" width="29.44140625" customWidth="1"/>
  </cols>
  <sheetData>
    <row r="1" spans="1:11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>
      <c r="A2" t="s">
        <v>139</v>
      </c>
      <c r="B2" s="14" t="s">
        <v>143</v>
      </c>
      <c r="C2" s="28">
        <v>0.22559999999999999</v>
      </c>
      <c r="D2" s="28">
        <v>0.22620000000000001</v>
      </c>
      <c r="E2" s="28">
        <v>0.22539999999999999</v>
      </c>
      <c r="F2" s="28"/>
      <c r="G2" s="28"/>
      <c r="H2" s="28"/>
      <c r="I2" s="28"/>
      <c r="J2" s="28"/>
      <c r="K2" s="28"/>
    </row>
    <row r="3" spans="1:11">
      <c r="B3" s="14"/>
    </row>
    <row r="4" spans="1:11">
      <c r="A4" t="s">
        <v>140</v>
      </c>
      <c r="B4" s="14" t="s">
        <v>143</v>
      </c>
      <c r="C4" s="28">
        <v>9.4100000000000003E-2</v>
      </c>
      <c r="D4" s="28">
        <v>8.7499999999999994E-2</v>
      </c>
      <c r="E4" s="28">
        <v>8.7499999999999994E-2</v>
      </c>
      <c r="F4" s="28"/>
      <c r="G4" s="28"/>
      <c r="H4" s="28"/>
      <c r="I4" s="28"/>
      <c r="J4" s="28"/>
      <c r="K4" s="28"/>
    </row>
    <row r="5" spans="1:11">
      <c r="B5" s="14"/>
    </row>
    <row r="6" spans="1:11">
      <c r="A6" t="s">
        <v>141</v>
      </c>
      <c r="B6" s="14" t="s">
        <v>143</v>
      </c>
      <c r="C6" s="28">
        <f>'Nutritional status distribution'!E14</f>
        <v>0.52223759440999995</v>
      </c>
      <c r="D6" s="28"/>
      <c r="E6" s="28"/>
      <c r="F6" s="28"/>
      <c r="G6" s="28"/>
      <c r="H6" s="28"/>
      <c r="I6" s="28"/>
      <c r="J6" s="28"/>
      <c r="K6" s="28"/>
    </row>
    <row r="7" spans="1:11">
      <c r="B7" s="14" t="s">
        <v>32</v>
      </c>
      <c r="C7" s="28">
        <f>'Nutritional status distribution'!H14</f>
        <v>0.23388999999999999</v>
      </c>
      <c r="D7" s="28"/>
      <c r="E7" s="28"/>
      <c r="F7" s="28"/>
      <c r="G7" s="28"/>
      <c r="H7" s="28"/>
      <c r="I7" s="28"/>
      <c r="J7" s="28"/>
      <c r="K7" s="28"/>
    </row>
    <row r="8" spans="1:11">
      <c r="B8" s="14" t="s">
        <v>144</v>
      </c>
      <c r="C8" s="28">
        <f>'Nutritional status distribution'!L14</f>
        <v>0.28334999999999999</v>
      </c>
      <c r="D8" s="28"/>
      <c r="E8" s="28"/>
      <c r="F8" s="28"/>
      <c r="G8" s="28"/>
      <c r="H8" s="28"/>
      <c r="I8" s="28"/>
      <c r="J8" s="28"/>
      <c r="K8" s="28"/>
    </row>
    <row r="10" spans="1:11">
      <c r="A10" t="s">
        <v>142</v>
      </c>
      <c r="B10" s="16" t="s">
        <v>147</v>
      </c>
      <c r="C10" s="28">
        <f>SUM('Breastfeeding distribution'!D2)</f>
        <v>0.33990000000000004</v>
      </c>
      <c r="D10" s="28"/>
      <c r="E10" s="28"/>
      <c r="F10" s="28"/>
      <c r="G10" s="28"/>
      <c r="H10" s="28"/>
      <c r="I10" s="28"/>
      <c r="J10" s="28"/>
      <c r="K10" s="28"/>
    </row>
    <row r="11" spans="1:11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>
      <c r="A13" s="12" t="s">
        <v>74</v>
      </c>
      <c r="B13" s="34" t="s">
        <v>148</v>
      </c>
      <c r="C13" s="145">
        <v>16.544</v>
      </c>
      <c r="D13" s="28">
        <v>15.747999999999999</v>
      </c>
      <c r="E13" s="28">
        <v>15.019</v>
      </c>
      <c r="F13" s="28"/>
      <c r="G13" s="28"/>
      <c r="H13" s="28"/>
      <c r="I13" s="28"/>
      <c r="J13" s="28"/>
      <c r="K13" s="28"/>
    </row>
    <row r="14" spans="1:11">
      <c r="B14" s="16" t="s">
        <v>170</v>
      </c>
      <c r="C14" s="145">
        <f>maternal_mortality</f>
        <v>0.33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tabSelected="1" zoomScale="115" zoomScaleNormal="115" workbookViewId="0">
      <selection activeCell="D12" sqref="D12"/>
    </sheetView>
  </sheetViews>
  <sheetFormatPr defaultColWidth="11.44140625" defaultRowHeight="13.2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>
      <c r="A5" s="47"/>
      <c r="B5" s="46" t="s">
        <v>3</v>
      </c>
      <c r="C5" s="81"/>
      <c r="D5" s="81"/>
      <c r="E5" s="58" t="str">
        <f>IF(E$7="","",E$7)</f>
        <v/>
      </c>
    </row>
    <row r="6" spans="1:5">
      <c r="A6" s="47"/>
      <c r="B6" s="46" t="s">
        <v>4</v>
      </c>
      <c r="C6" s="81"/>
      <c r="D6" s="81"/>
      <c r="E6" s="58" t="str">
        <f>IF(E$7="","",E$7)</f>
        <v/>
      </c>
    </row>
    <row r="7" spans="1:5">
      <c r="A7" s="47"/>
      <c r="B7" s="46" t="s">
        <v>172</v>
      </c>
      <c r="C7" s="45"/>
      <c r="D7" s="44"/>
      <c r="E7" s="81"/>
    </row>
    <row r="9" spans="1:5">
      <c r="A9" s="51" t="s">
        <v>174</v>
      </c>
      <c r="B9" s="50" t="s">
        <v>32</v>
      </c>
      <c r="C9" s="81"/>
      <c r="D9" s="81"/>
      <c r="E9" s="59"/>
    </row>
    <row r="10" spans="1:5">
      <c r="A10" s="47"/>
      <c r="B10" s="46" t="s">
        <v>1</v>
      </c>
      <c r="C10" s="81"/>
      <c r="D10" s="81"/>
      <c r="E10" s="58"/>
    </row>
    <row r="11" spans="1:5">
      <c r="A11" s="47"/>
      <c r="B11" s="46" t="s">
        <v>2</v>
      </c>
      <c r="C11" s="81"/>
      <c r="D11" s="81"/>
      <c r="E11" s="58"/>
    </row>
    <row r="12" spans="1:5">
      <c r="A12" s="47"/>
      <c r="B12" s="46" t="s">
        <v>3</v>
      </c>
      <c r="C12" s="81"/>
      <c r="D12" s="81" t="s">
        <v>216</v>
      </c>
      <c r="E12" s="58"/>
    </row>
    <row r="13" spans="1:5">
      <c r="A13" s="47"/>
      <c r="B13" s="46" t="s">
        <v>4</v>
      </c>
      <c r="C13" s="81"/>
      <c r="D13" s="81" t="s">
        <v>216</v>
      </c>
      <c r="E13" s="58"/>
    </row>
    <row r="14" spans="1:5">
      <c r="A14" s="47"/>
      <c r="B14" s="46" t="s">
        <v>172</v>
      </c>
      <c r="C14" s="45"/>
      <c r="D14" s="44"/>
      <c r="E14" s="81"/>
    </row>
    <row r="16" spans="1: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>
      <c r="A17" s="47"/>
      <c r="B17" s="46" t="s">
        <v>1</v>
      </c>
      <c r="C17" s="82"/>
      <c r="D17" s="81"/>
      <c r="E17" s="58" t="str">
        <f>IF(E$21="","",E$21)</f>
        <v>x</v>
      </c>
    </row>
    <row r="18" spans="1:5">
      <c r="A18" s="47"/>
      <c r="B18" s="46" t="s">
        <v>2</v>
      </c>
      <c r="C18" s="82"/>
      <c r="D18" s="81"/>
      <c r="E18" s="58" t="str">
        <f>IF(E$21="","",E$21)</f>
        <v>x</v>
      </c>
    </row>
    <row r="19" spans="1:5">
      <c r="A19" s="47"/>
      <c r="B19" s="46" t="s">
        <v>3</v>
      </c>
      <c r="C19" s="82"/>
      <c r="D19" s="81"/>
      <c r="E19" s="58" t="str">
        <f>IF(E$21="","",E$21)</f>
        <v>x</v>
      </c>
    </row>
    <row r="20" spans="1:5">
      <c r="A20" s="47"/>
      <c r="B20" s="46" t="s">
        <v>4</v>
      </c>
      <c r="C20" s="82"/>
      <c r="D20" s="84"/>
      <c r="E20" s="58" t="str">
        <f>IF(E$21="","",E$21)</f>
        <v>x</v>
      </c>
    </row>
    <row r="21" spans="1: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>
      <c r="A2" s="63" t="s">
        <v>67</v>
      </c>
      <c r="B2" s="46" t="s">
        <v>178</v>
      </c>
      <c r="C2" s="46" t="s">
        <v>186</v>
      </c>
      <c r="D2" s="81" t="s">
        <v>216</v>
      </c>
    </row>
    <row r="3" spans="1:4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zoomScale="106" workbookViewId="0">
      <selection activeCell="D39" sqref="D2:D39"/>
    </sheetView>
  </sheetViews>
  <sheetFormatPr defaultColWidth="14.44140625" defaultRowHeight="15.75" customHeight="1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>
      <c r="A2" s="53" t="s">
        <v>29</v>
      </c>
      <c r="B2" s="85">
        <v>0</v>
      </c>
      <c r="C2" s="85">
        <v>0.95</v>
      </c>
      <c r="D2" s="86">
        <v>53.780271394236287</v>
      </c>
      <c r="E2" s="86" t="s">
        <v>201</v>
      </c>
    </row>
    <row r="3" spans="1:5" ht="15.75" customHeight="1">
      <c r="A3" s="53" t="s">
        <v>86</v>
      </c>
      <c r="B3" s="85">
        <v>0</v>
      </c>
      <c r="C3" s="85">
        <v>0.95</v>
      </c>
      <c r="D3" s="86">
        <v>39.784890774088787</v>
      </c>
      <c r="E3" s="86" t="s">
        <v>201</v>
      </c>
    </row>
    <row r="4" spans="1:5" ht="15.75" customHeight="1">
      <c r="A4" s="53" t="s">
        <v>61</v>
      </c>
      <c r="B4" s="85">
        <v>0</v>
      </c>
      <c r="C4" s="85">
        <v>0.95</v>
      </c>
      <c r="D4" s="86">
        <v>347.78517426090025</v>
      </c>
      <c r="E4" s="86" t="s">
        <v>201</v>
      </c>
    </row>
    <row r="5" spans="1:5" ht="15.75" customHeight="1">
      <c r="A5" s="53" t="s">
        <v>149</v>
      </c>
      <c r="B5" s="85">
        <v>0</v>
      </c>
      <c r="C5" s="85">
        <v>0.95</v>
      </c>
      <c r="D5" s="86">
        <v>0.95829964668228185</v>
      </c>
      <c r="E5" s="86" t="s">
        <v>201</v>
      </c>
    </row>
    <row r="6" spans="1:5" ht="15.75" customHeight="1">
      <c r="A6" s="53" t="s">
        <v>197</v>
      </c>
      <c r="B6" s="85">
        <v>0</v>
      </c>
      <c r="C6" s="85">
        <v>0.95</v>
      </c>
      <c r="D6" s="86">
        <v>1</v>
      </c>
      <c r="E6" s="86" t="s">
        <v>201</v>
      </c>
    </row>
    <row r="7" spans="1:5" ht="15.75" customHeight="1">
      <c r="A7" s="53" t="s">
        <v>63</v>
      </c>
      <c r="B7" s="85">
        <v>0.5</v>
      </c>
      <c r="C7" s="85">
        <v>0.95</v>
      </c>
      <c r="D7" s="86">
        <v>0.3715978850511571</v>
      </c>
      <c r="E7" s="86" t="s">
        <v>201</v>
      </c>
    </row>
    <row r="8" spans="1:5" ht="15.75" customHeight="1">
      <c r="A8" s="53" t="s">
        <v>64</v>
      </c>
      <c r="B8" s="85">
        <v>0.5</v>
      </c>
      <c r="C8" s="85">
        <v>0.95</v>
      </c>
      <c r="D8" s="86">
        <v>0.3715978850511571</v>
      </c>
      <c r="E8" s="86" t="s">
        <v>201</v>
      </c>
    </row>
    <row r="9" spans="1:5" ht="15.75" customHeight="1">
      <c r="A9" s="53" t="s">
        <v>62</v>
      </c>
      <c r="B9" s="85">
        <v>0.5</v>
      </c>
      <c r="C9" s="85">
        <v>0.95</v>
      </c>
      <c r="D9" s="86">
        <v>0.3715978850511571</v>
      </c>
      <c r="E9" s="86" t="s">
        <v>201</v>
      </c>
    </row>
    <row r="10" spans="1:5" ht="15.75" customHeight="1">
      <c r="A10" s="61" t="s">
        <v>190</v>
      </c>
      <c r="B10" s="85">
        <v>0</v>
      </c>
      <c r="C10" s="85">
        <v>0.95</v>
      </c>
      <c r="D10" s="86">
        <v>1.3843564885706789</v>
      </c>
      <c r="E10" s="86" t="s">
        <v>201</v>
      </c>
    </row>
    <row r="11" spans="1:5" ht="15.75" customHeight="1">
      <c r="A11" s="61" t="s">
        <v>207</v>
      </c>
      <c r="B11" s="85">
        <v>0</v>
      </c>
      <c r="C11" s="85">
        <v>0.95</v>
      </c>
      <c r="D11" s="86">
        <v>1.3843564885706789</v>
      </c>
      <c r="E11" s="86" t="s">
        <v>201</v>
      </c>
    </row>
    <row r="12" spans="1:5" ht="15.75" customHeight="1">
      <c r="A12" s="61" t="s">
        <v>191</v>
      </c>
      <c r="B12" s="85">
        <v>0</v>
      </c>
      <c r="C12" s="85">
        <v>0.95</v>
      </c>
      <c r="D12" s="86">
        <v>1.3843564885706789</v>
      </c>
      <c r="E12" s="86" t="s">
        <v>201</v>
      </c>
    </row>
    <row r="13" spans="1:5" ht="15.75" customHeight="1">
      <c r="A13" s="61" t="s">
        <v>192</v>
      </c>
      <c r="B13" s="85">
        <v>0</v>
      </c>
      <c r="C13" s="85">
        <v>0.95</v>
      </c>
      <c r="D13" s="86">
        <v>1.3843564885706789</v>
      </c>
      <c r="E13" s="86" t="s">
        <v>201</v>
      </c>
    </row>
    <row r="14" spans="1:5" ht="15.75" customHeight="1">
      <c r="A14" s="11" t="s">
        <v>189</v>
      </c>
      <c r="B14" s="85">
        <v>0.29399999999999998</v>
      </c>
      <c r="C14" s="85">
        <v>0.95</v>
      </c>
      <c r="D14" s="86">
        <v>12.917190217884697</v>
      </c>
      <c r="E14" s="86" t="s">
        <v>201</v>
      </c>
    </row>
    <row r="15" spans="1:5" ht="15.75" customHeight="1">
      <c r="A15" s="11" t="s">
        <v>206</v>
      </c>
      <c r="B15" s="85">
        <v>0</v>
      </c>
      <c r="C15" s="85">
        <v>0.95</v>
      </c>
      <c r="D15" s="86">
        <v>12.917190217884697</v>
      </c>
      <c r="E15" s="86" t="s">
        <v>201</v>
      </c>
    </row>
    <row r="16" spans="1:5" ht="15.75" customHeight="1">
      <c r="A16" s="53" t="s">
        <v>57</v>
      </c>
      <c r="B16" s="85">
        <v>0</v>
      </c>
      <c r="C16" s="85">
        <v>0.95</v>
      </c>
      <c r="D16" s="86">
        <v>0.13690448396621577</v>
      </c>
      <c r="E16" s="86" t="s">
        <v>201</v>
      </c>
    </row>
    <row r="17" spans="1:5" ht="15.75" customHeight="1">
      <c r="A17" s="53" t="s">
        <v>47</v>
      </c>
      <c r="B17" s="85">
        <v>0.86</v>
      </c>
      <c r="C17" s="85">
        <v>0.95</v>
      </c>
      <c r="D17" s="86">
        <v>0.62395601778004439</v>
      </c>
      <c r="E17" s="86" t="s">
        <v>201</v>
      </c>
    </row>
    <row r="18" spans="1:5" ht="15.75" customHeight="1">
      <c r="A18" s="53" t="s">
        <v>175</v>
      </c>
      <c r="B18" s="85">
        <v>0.30299999999999999</v>
      </c>
      <c r="C18" s="85">
        <v>0.95</v>
      </c>
      <c r="D18" s="86">
        <v>8.03774489307912</v>
      </c>
      <c r="E18" s="86" t="s">
        <v>201</v>
      </c>
    </row>
    <row r="19" spans="1:5" ht="15.75" customHeight="1">
      <c r="A19" s="53" t="s">
        <v>174</v>
      </c>
      <c r="B19" s="85">
        <v>0.37</v>
      </c>
      <c r="C19" s="85">
        <v>0.95</v>
      </c>
      <c r="D19" s="86">
        <v>1.05</v>
      </c>
      <c r="E19" s="86" t="s">
        <v>201</v>
      </c>
    </row>
    <row r="20" spans="1:5" ht="15.75" customHeight="1">
      <c r="A20" s="53" t="s">
        <v>173</v>
      </c>
      <c r="B20" s="85">
        <v>0</v>
      </c>
      <c r="C20" s="85">
        <v>0.95</v>
      </c>
      <c r="D20" s="86">
        <v>0.42</v>
      </c>
      <c r="E20" s="86" t="s">
        <v>201</v>
      </c>
    </row>
    <row r="21" spans="1:5" ht="15.75" customHeight="1">
      <c r="A21" s="53" t="s">
        <v>196</v>
      </c>
      <c r="B21" s="85">
        <v>0</v>
      </c>
      <c r="C21" s="85">
        <v>0.95</v>
      </c>
      <c r="D21" s="86">
        <v>12.623895982378892</v>
      </c>
      <c r="E21" s="86" t="s">
        <v>201</v>
      </c>
    </row>
    <row r="22" spans="1:5" ht="15.75" customHeight="1">
      <c r="A22" s="53" t="s">
        <v>136</v>
      </c>
      <c r="B22" s="85">
        <v>0</v>
      </c>
      <c r="C22" s="85">
        <v>0.95</v>
      </c>
      <c r="D22" s="86">
        <v>22.241140820701322</v>
      </c>
      <c r="E22" s="86" t="s">
        <v>201</v>
      </c>
    </row>
    <row r="23" spans="1:5" ht="15.75" customHeight="1">
      <c r="A23" s="53" t="s">
        <v>34</v>
      </c>
      <c r="B23" s="85">
        <v>0</v>
      </c>
      <c r="C23" s="85">
        <v>0.95</v>
      </c>
      <c r="D23" s="86">
        <v>4.2199693960316731</v>
      </c>
      <c r="E23" s="86" t="s">
        <v>201</v>
      </c>
    </row>
    <row r="24" spans="1:5" ht="15.75" customHeight="1">
      <c r="A24" s="53" t="s">
        <v>88</v>
      </c>
      <c r="B24" s="85">
        <v>0</v>
      </c>
      <c r="C24" s="85">
        <v>0.95</v>
      </c>
      <c r="D24" s="86">
        <v>18.478294846889369</v>
      </c>
      <c r="E24" s="86" t="s">
        <v>201</v>
      </c>
    </row>
    <row r="25" spans="1:5" ht="15.75" customHeight="1">
      <c r="A25" s="53" t="s">
        <v>87</v>
      </c>
      <c r="B25" s="85">
        <v>0.39799999999999996</v>
      </c>
      <c r="C25" s="85">
        <v>0.95</v>
      </c>
      <c r="D25" s="86">
        <v>18.478616276411273</v>
      </c>
      <c r="E25" s="86" t="s">
        <v>201</v>
      </c>
    </row>
    <row r="26" spans="1:5" ht="15.75" customHeight="1">
      <c r="A26" s="53" t="s">
        <v>137</v>
      </c>
      <c r="B26" s="85">
        <v>0.36099999999999999</v>
      </c>
      <c r="C26" s="85">
        <v>0.95</v>
      </c>
      <c r="D26" s="86">
        <v>5.005257445023231</v>
      </c>
      <c r="E26" s="86" t="s">
        <v>201</v>
      </c>
    </row>
    <row r="27" spans="1:5" ht="15.75" customHeight="1">
      <c r="A27" s="53" t="s">
        <v>59</v>
      </c>
      <c r="B27" s="85">
        <v>0</v>
      </c>
      <c r="C27" s="85">
        <v>0.95</v>
      </c>
      <c r="D27" s="86">
        <v>6.6653184106259564</v>
      </c>
      <c r="E27" s="86" t="s">
        <v>201</v>
      </c>
    </row>
    <row r="28" spans="1:5" ht="15.75" customHeight="1">
      <c r="A28" s="53" t="s">
        <v>84</v>
      </c>
      <c r="B28" s="85">
        <v>0.28399999999999997</v>
      </c>
      <c r="C28" s="85">
        <v>0.95</v>
      </c>
      <c r="D28" s="86">
        <v>0.81769735430930712</v>
      </c>
      <c r="E28" s="86" t="s">
        <v>201</v>
      </c>
    </row>
    <row r="29" spans="1:5" ht="15.75" customHeight="1">
      <c r="A29" s="53" t="s">
        <v>58</v>
      </c>
      <c r="B29" s="85">
        <v>0.37</v>
      </c>
      <c r="C29" s="85">
        <v>0.95</v>
      </c>
      <c r="D29" s="86">
        <v>103.95000619440961</v>
      </c>
      <c r="E29" s="86" t="s">
        <v>201</v>
      </c>
    </row>
    <row r="30" spans="1:5" ht="15.75" customHeight="1">
      <c r="A30" s="53" t="s">
        <v>67</v>
      </c>
      <c r="B30" s="85">
        <v>0</v>
      </c>
      <c r="C30" s="85">
        <v>0.95</v>
      </c>
      <c r="D30" s="86">
        <v>219.28523797132254</v>
      </c>
      <c r="E30" s="86" t="s">
        <v>201</v>
      </c>
    </row>
    <row r="31" spans="1:5" ht="15.75" customHeight="1">
      <c r="A31" s="53" t="s">
        <v>185</v>
      </c>
      <c r="B31" s="85">
        <v>0</v>
      </c>
      <c r="C31" s="85">
        <v>0.95</v>
      </c>
      <c r="D31" s="86">
        <v>219.28523797132254</v>
      </c>
      <c r="E31" s="86" t="s">
        <v>201</v>
      </c>
    </row>
    <row r="32" spans="1:5" ht="15.75" customHeight="1">
      <c r="A32" s="53" t="s">
        <v>28</v>
      </c>
      <c r="B32" s="85">
        <v>0.58299999999999996</v>
      </c>
      <c r="C32" s="85">
        <v>0.95</v>
      </c>
      <c r="D32" s="86">
        <v>1.3299586737612634</v>
      </c>
      <c r="E32" s="86" t="s">
        <v>201</v>
      </c>
    </row>
    <row r="33" spans="1:6" ht="15.75" customHeight="1">
      <c r="A33" s="53" t="s">
        <v>83</v>
      </c>
      <c r="B33" s="85">
        <v>0.89</v>
      </c>
      <c r="C33" s="85">
        <v>0.95</v>
      </c>
      <c r="D33" s="144">
        <v>0.9</v>
      </c>
      <c r="E33" s="86" t="s">
        <v>201</v>
      </c>
    </row>
    <row r="34" spans="1:6" ht="15.75" customHeight="1">
      <c r="A34" s="53" t="s">
        <v>82</v>
      </c>
      <c r="B34" s="85">
        <v>0.35700000000000004</v>
      </c>
      <c r="C34" s="85">
        <v>0.95</v>
      </c>
      <c r="D34" s="144">
        <v>0.9</v>
      </c>
      <c r="E34" s="86" t="s">
        <v>201</v>
      </c>
    </row>
    <row r="35" spans="1:6" ht="15.75" customHeight="1">
      <c r="A35" s="53" t="s">
        <v>81</v>
      </c>
      <c r="B35" s="85">
        <v>0.94200000000000006</v>
      </c>
      <c r="C35" s="85">
        <v>0.95</v>
      </c>
      <c r="D35" s="144">
        <v>79</v>
      </c>
      <c r="E35" s="86" t="s">
        <v>201</v>
      </c>
    </row>
    <row r="36" spans="1:6" ht="15.75" customHeight="1">
      <c r="A36" s="53" t="s">
        <v>79</v>
      </c>
      <c r="B36" s="85">
        <v>0.99</v>
      </c>
      <c r="C36" s="85">
        <v>0.95</v>
      </c>
      <c r="D36" s="144">
        <v>31</v>
      </c>
      <c r="E36" s="86" t="s">
        <v>201</v>
      </c>
    </row>
    <row r="37" spans="1:6" s="36" customFormat="1" ht="15.75" customHeight="1">
      <c r="A37" s="53" t="s">
        <v>80</v>
      </c>
      <c r="B37" s="85">
        <v>0.97199999999999998</v>
      </c>
      <c r="C37" s="85">
        <v>0.95</v>
      </c>
      <c r="D37" s="144">
        <v>102</v>
      </c>
      <c r="E37" s="86" t="s">
        <v>201</v>
      </c>
      <c r="F37" s="35"/>
    </row>
    <row r="38" spans="1:6" ht="15.75" customHeight="1">
      <c r="A38" s="53" t="s">
        <v>85</v>
      </c>
      <c r="B38" s="85">
        <v>1.7000000000000001E-2</v>
      </c>
      <c r="C38" s="85">
        <v>0.95</v>
      </c>
      <c r="D38" s="86">
        <v>1.9414082592229158</v>
      </c>
      <c r="E38" s="86" t="s">
        <v>201</v>
      </c>
    </row>
    <row r="39" spans="1:6" ht="15.75" customHeight="1">
      <c r="A39" s="53" t="s">
        <v>60</v>
      </c>
      <c r="B39" s="85">
        <v>0</v>
      </c>
      <c r="C39" s="85">
        <v>0.95</v>
      </c>
      <c r="D39" s="86">
        <v>1.3510811901306936</v>
      </c>
      <c r="E39" s="86" t="s">
        <v>201</v>
      </c>
    </row>
    <row r="40" spans="1:6" ht="15.75" customHeight="1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2020-08-28T23:55:08Z</dcterms:modified>
</cp:coreProperties>
</file>