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autoCompressPictures="0"/>
  <mc:AlternateContent xmlns:mc="http://schemas.openxmlformats.org/markup-compatibility/2006">
    <mc:Choice Requires="x15">
      <x15ac:absPath xmlns:x15ac="http://schemas.microsoft.com/office/spreadsheetml/2010/11/ac" url="C:\Users\dominic.delport\Documents\GitHub\Nutrition\inputs\"/>
    </mc:Choice>
  </mc:AlternateContent>
  <xr:revisionPtr revIDLastSave="0" documentId="13_ncr:1_{8E82508A-06F8-48E8-998C-F286419CA69B}" xr6:coauthVersionLast="43" xr6:coauthVersionMax="43" xr10:uidLastSave="{00000000-0000-0000-0000-000000000000}"/>
  <bookViews>
    <workbookView showHorizontalScroll="0" showVerticalScroll="0" xWindow="28680" yWindow="-120" windowWidth="29040" windowHeight="15840" tabRatio="961" xr2:uid="{00000000-000D-0000-FFFF-FFFF00000000}"/>
  </bookViews>
  <sheets>
    <sheet name="Baseline year population inputs" sheetId="1" r:id="rId1"/>
    <sheet name="Demographic projections" sheetId="2" r:id="rId2"/>
    <sheet name="Causes of death" sheetId="4" r:id="rId3"/>
    <sheet name="Nutritional status distribution" sheetId="5" r:id="rId4"/>
    <sheet name="Breastfeeding distribution" sheetId="50" r:id="rId5"/>
    <sheet name="Time trends" sheetId="51" state="hidden" r:id="rId6"/>
    <sheet name="IYCF packages" sheetId="55" r:id="rId7"/>
    <sheet name="Treatment of SAM" sheetId="60" r:id="rId8"/>
    <sheet name="Programs cost and coverage" sheetId="56" r:id="rId9"/>
    <sheet name="IYCF cost" sheetId="57" r:id="rId10"/>
    <sheet name="Program dependencies" sheetId="58" r:id="rId11"/>
    <sheet name="Reference programs" sheetId="59" state="hidden" r:id="rId12"/>
    <sheet name="Incidence of conditions" sheetId="7" state="hidden" r:id="rId13"/>
    <sheet name="Programs target population" sheetId="21" r:id="rId14"/>
    <sheet name="Cost curve options" sheetId="61" state="hidden" r:id="rId15"/>
    <sheet name="Programs family planning" sheetId="54" r:id="rId16"/>
  </sheets>
  <definedNames>
    <definedName name="abortion" localSheetId="6">'Baseline year population inputs'!$C$38</definedName>
    <definedName name="abortion">'Baseline year population inputs'!$C$41</definedName>
    <definedName name="comm_deliv">'Treatment of SAM'!$D$3</definedName>
    <definedName name="diarrhoea_1_5mo">'Baseline year population inputs'!#REF!</definedName>
    <definedName name="diarrhoea_12_23mo">'Baseline year population inputs'!$C$54</definedName>
    <definedName name="diarrhoea_1mo">'Baseline year population inputs'!$C$51</definedName>
    <definedName name="diarrhoea_24_59mo">'Baseline year population inputs'!$C$55</definedName>
    <definedName name="diarrhoea_6_11mo">'Baseline year population inputs'!$C$53</definedName>
    <definedName name="end_year">'Baseline year population inputs'!$C$4</definedName>
    <definedName name="famplan_unmet_need">'Baseline year population inputs'!$C$13</definedName>
    <definedName name="food_insecure">'Baseline year population inputs'!$C$8</definedName>
    <definedName name="frac_children_health_facility">'Baseline year population inputs'!$C$12</definedName>
    <definedName name="frac_diarrhea_severe">'Baseline year population inputs'!$C$58</definedName>
    <definedName name="frac_maize">'Baseline year population inputs'!$C$19</definedName>
    <definedName name="frac_malaria_risk">'Baseline year population inputs'!$C$9</definedName>
    <definedName name="frac_mam_1_5months">'Nutritional status distribution'!$D$10</definedName>
    <definedName name="frac_mam_12_23months">'Nutritional status distribution'!$F$10</definedName>
    <definedName name="frac_mam_1month">'Nutritional status distribution'!$C$10</definedName>
    <definedName name="frac_mam_24_59months">'Nutritional status distribution'!$G$10</definedName>
    <definedName name="frac_mam_6_11months">'Nutritional status distribution'!$E$10</definedName>
    <definedName name="frac_MAMtoSAM">'Baseline year population inputs'!#REF!</definedName>
    <definedName name="frac_other_staples">'Baseline year population inputs'!$C$20</definedName>
    <definedName name="frac_PW_health_facility">'Baseline year population inputs'!$C$11</definedName>
    <definedName name="frac_rice">'Baseline year population inputs'!$C$17</definedName>
    <definedName name="frac_sam_1_5months">'Nutritional status distribution'!$D$11</definedName>
    <definedName name="frac_sam_12_23months">'Nutritional status distribution'!$F$11</definedName>
    <definedName name="frac_sam_1month">'Nutritional status distribution'!$C$11</definedName>
    <definedName name="frac_sam_24_59months">'Nutritional status distribution'!$G$11</definedName>
    <definedName name="frac_sam_6_11months">'Nutritional status distribution'!$E$11</definedName>
    <definedName name="frac_SAMtoMAM">'Baseline year population inputs'!#REF!</definedName>
    <definedName name="frac_subsistence_farming">'Baseline year population inputs'!$C$16</definedName>
    <definedName name="frac_wheat">'Baseline year population inputs'!$C$18</definedName>
    <definedName name="infant_mortality">'Baseline year population inputs'!$C$38</definedName>
    <definedName name="iron_deficiency_anaemia">'Baseline year population inputs'!$C$59</definedName>
    <definedName name="manage_mam">'Treatment of SAM'!$D$2</definedName>
    <definedName name="maternal_mortality">'Baseline year population inputs'!$C$40</definedName>
    <definedName name="neonatal_mortality">'Baseline year population inputs'!$C$37</definedName>
    <definedName name="Percentage_of_pregnant_women_attending_health_facility">'Baseline year population inputs'!$C$11</definedName>
    <definedName name="preterm_AGA">'Baseline year population inputs'!$C$46</definedName>
    <definedName name="preterm_SGA">'Baseline year population inputs'!$C$45</definedName>
    <definedName name="school_attendance">'Baseline year population inputs'!$C$10</definedName>
    <definedName name="start_year">'Baseline year population inputs'!$C$3</definedName>
    <definedName name="stillbirth" localSheetId="6">'Baseline year population inputs'!$C$39</definedName>
    <definedName name="stillbirth">'Baseline year population inputs'!$C$42</definedName>
    <definedName name="term_AGA">'Baseline year population inputs'!$C$48</definedName>
    <definedName name="term_SGA">'Baseline year population inputs'!$C$47</definedName>
    <definedName name="U5_mortality">'Baseline year population inputs'!$C$39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3" i="56" l="1"/>
  <c r="D25" i="56" l="1"/>
  <c r="D24" i="56"/>
  <c r="D21" i="56"/>
  <c r="D16" i="56" l="1"/>
  <c r="D15" i="56"/>
  <c r="D6" i="56"/>
  <c r="D3" i="56"/>
  <c r="D2" i="56"/>
  <c r="D23" i="56" l="1"/>
  <c r="D12" i="56"/>
  <c r="D11" i="56"/>
  <c r="D10" i="56"/>
  <c r="D37" i="56" l="1"/>
  <c r="D30" i="56"/>
  <c r="D23" i="4" l="1"/>
  <c r="D28" i="56" l="1"/>
  <c r="D38" i="56"/>
  <c r="J14" i="21" l="1"/>
  <c r="C35" i="4" l="1"/>
  <c r="E23" i="4"/>
  <c r="F23" i="4"/>
  <c r="C23" i="4"/>
  <c r="C11" i="4"/>
  <c r="A1" i="4" l="1"/>
  <c r="M23" i="21" l="1"/>
  <c r="N23" i="21"/>
  <c r="O23" i="21"/>
  <c r="L23" i="21"/>
  <c r="G11" i="21" l="1"/>
  <c r="F11" i="21"/>
  <c r="E11" i="21"/>
  <c r="D11" i="21"/>
  <c r="C11" i="21"/>
  <c r="E7" i="21"/>
  <c r="G7" i="21"/>
  <c r="F7" i="21"/>
  <c r="D7" i="21"/>
  <c r="C7" i="21"/>
  <c r="E20" i="55" l="1"/>
  <c r="E19" i="55"/>
  <c r="E18" i="55"/>
  <c r="E17" i="55"/>
  <c r="E16" i="55"/>
  <c r="E13" i="55" l="1"/>
  <c r="E12" i="55"/>
  <c r="E11" i="55"/>
  <c r="E10" i="55"/>
  <c r="E9" i="55"/>
  <c r="H2" i="2" l="1"/>
  <c r="C33" i="1" l="1"/>
  <c r="A1" i="50" l="1"/>
  <c r="A1" i="5"/>
  <c r="B1" i="56"/>
  <c r="D6" i="57" l="1"/>
  <c r="C6" i="57"/>
  <c r="D5" i="57"/>
  <c r="C5" i="57"/>
  <c r="D4" i="57"/>
  <c r="C4" i="57"/>
  <c r="D3" i="57"/>
  <c r="C3" i="57"/>
  <c r="C2" i="57"/>
  <c r="A2" i="2" l="1"/>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G16" i="2"/>
  <c r="H16" i="2"/>
  <c r="G17" i="2"/>
  <c r="H17" i="2"/>
  <c r="G18" i="2"/>
  <c r="H18" i="2"/>
  <c r="G19" i="2"/>
  <c r="H19" i="2"/>
  <c r="G20" i="2"/>
  <c r="H20" i="2"/>
  <c r="G21" i="2"/>
  <c r="H21" i="2"/>
  <c r="G22" i="2"/>
  <c r="H22" i="2"/>
  <c r="G23" i="2"/>
  <c r="H23" i="2"/>
  <c r="I23" i="2" s="1"/>
  <c r="G24" i="2"/>
  <c r="H24" i="2"/>
  <c r="G25" i="2"/>
  <c r="H25" i="2"/>
  <c r="I25" i="2" s="1"/>
  <c r="G26" i="2"/>
  <c r="H26" i="2"/>
  <c r="G27" i="2"/>
  <c r="H27" i="2"/>
  <c r="G28" i="2"/>
  <c r="H28" i="2"/>
  <c r="G29" i="2"/>
  <c r="H29" i="2"/>
  <c r="G30" i="2"/>
  <c r="H30" i="2"/>
  <c r="G31" i="2"/>
  <c r="H31" i="2"/>
  <c r="I31" i="2" s="1"/>
  <c r="G32" i="2"/>
  <c r="H32" i="2"/>
  <c r="G33" i="2"/>
  <c r="H33" i="2"/>
  <c r="I33" i="2" s="1"/>
  <c r="G34" i="2"/>
  <c r="H34" i="2"/>
  <c r="G35" i="2"/>
  <c r="H35" i="2"/>
  <c r="G36" i="2"/>
  <c r="H36" i="2"/>
  <c r="G37" i="2"/>
  <c r="H37" i="2"/>
  <c r="G38" i="2"/>
  <c r="H38" i="2"/>
  <c r="G39" i="2"/>
  <c r="H39" i="2"/>
  <c r="G40" i="2"/>
  <c r="H40" i="2"/>
  <c r="I32" i="2" l="1"/>
  <c r="I24" i="2"/>
  <c r="I39" i="2"/>
  <c r="I37" i="2"/>
  <c r="I35" i="2"/>
  <c r="I17" i="2"/>
  <c r="I40" i="2"/>
  <c r="I20" i="2"/>
  <c r="I29" i="2"/>
  <c r="I27" i="2"/>
  <c r="I16" i="2"/>
  <c r="I21" i="2"/>
  <c r="I19" i="2"/>
  <c r="I38" i="2"/>
  <c r="I22" i="2"/>
  <c r="I30" i="2"/>
  <c r="I36" i="2"/>
  <c r="I28" i="2"/>
  <c r="I34" i="2"/>
  <c r="I26" i="2"/>
  <c r="I18" i="2"/>
  <c r="I17" i="21"/>
  <c r="J17" i="21"/>
  <c r="K17" i="21"/>
  <c r="H17" i="21"/>
  <c r="K16" i="21"/>
  <c r="J16" i="21"/>
  <c r="I16" i="21"/>
  <c r="H16" i="21"/>
  <c r="E9" i="21" l="1"/>
  <c r="F9" i="21"/>
  <c r="G9" i="21"/>
  <c r="D9" i="21"/>
  <c r="I21" i="21" l="1"/>
  <c r="J21" i="21"/>
  <c r="K21" i="21"/>
  <c r="H21" i="21"/>
  <c r="F6" i="21"/>
  <c r="G6" i="21"/>
  <c r="E6" i="21"/>
  <c r="F5" i="21"/>
  <c r="E5" i="21"/>
  <c r="N26" i="21"/>
  <c r="O26" i="21"/>
  <c r="M26" i="21"/>
  <c r="N25" i="21"/>
  <c r="O25" i="21"/>
  <c r="M25" i="21"/>
  <c r="N24" i="21"/>
  <c r="O24" i="21"/>
  <c r="M24" i="21"/>
  <c r="L27" i="21"/>
  <c r="L26" i="21"/>
  <c r="L24" i="21"/>
  <c r="L25" i="21"/>
  <c r="E2" i="55" l="1"/>
  <c r="E3" i="55"/>
  <c r="E4" i="55"/>
  <c r="E5" i="55"/>
  <c r="E6" i="55"/>
  <c r="F2" i="7" l="1"/>
  <c r="E2" i="7"/>
  <c r="D2" i="7"/>
  <c r="C2" i="7"/>
  <c r="B2" i="7"/>
  <c r="F4" i="7" l="1"/>
  <c r="E4" i="7"/>
  <c r="D4" i="7"/>
  <c r="C4" i="7"/>
  <c r="B4" i="7"/>
  <c r="F3" i="7"/>
  <c r="E3" i="7"/>
  <c r="D3" i="7"/>
  <c r="C3" i="7"/>
  <c r="B3" i="7"/>
  <c r="E2" i="54" l="1"/>
  <c r="E3" i="54"/>
  <c r="E4" i="54"/>
  <c r="E5" i="54"/>
  <c r="E6" i="54"/>
  <c r="E7" i="54"/>
  <c r="E8" i="54"/>
  <c r="E9" i="54"/>
  <c r="E10" i="54"/>
  <c r="C33" i="21" l="1"/>
  <c r="O29" i="21" l="1"/>
  <c r="N29" i="21"/>
  <c r="M29" i="21"/>
  <c r="L29" i="21"/>
  <c r="K29" i="21"/>
  <c r="J29" i="21"/>
  <c r="I29" i="21"/>
  <c r="H29" i="21"/>
  <c r="G29" i="21"/>
  <c r="F29" i="21"/>
  <c r="E29" i="21"/>
  <c r="O31" i="21"/>
  <c r="N31" i="21"/>
  <c r="M31" i="21"/>
  <c r="L31" i="21"/>
  <c r="K31" i="21"/>
  <c r="J31" i="21"/>
  <c r="I31" i="21"/>
  <c r="H31" i="21"/>
  <c r="G31" i="21"/>
  <c r="F31" i="21"/>
  <c r="E31" i="21"/>
  <c r="O30" i="21"/>
  <c r="N30" i="21"/>
  <c r="M30" i="21"/>
  <c r="L30" i="21"/>
  <c r="K30" i="21"/>
  <c r="J30" i="21"/>
  <c r="I30" i="21"/>
  <c r="H30" i="21"/>
  <c r="G30" i="21"/>
  <c r="F30" i="21"/>
  <c r="E30" i="21"/>
  <c r="K14" i="21"/>
  <c r="I14" i="21"/>
  <c r="H14" i="21"/>
  <c r="G2" i="21"/>
  <c r="F2" i="21"/>
  <c r="E2" i="21"/>
  <c r="D2" i="21"/>
  <c r="O33" i="21"/>
  <c r="N33" i="21"/>
  <c r="M33" i="21"/>
  <c r="L33" i="21"/>
  <c r="K33" i="21"/>
  <c r="J33" i="21"/>
  <c r="I33" i="21"/>
  <c r="H33" i="21"/>
  <c r="G33" i="21"/>
  <c r="F33" i="21"/>
  <c r="E33" i="21"/>
  <c r="D33" i="21"/>
  <c r="K18" i="21"/>
  <c r="J18" i="21"/>
  <c r="I18" i="21"/>
  <c r="H18" i="21"/>
  <c r="F8" i="21"/>
  <c r="E8" i="21"/>
  <c r="O15" i="5"/>
  <c r="N15" i="5"/>
  <c r="M15" i="5"/>
  <c r="L15" i="5"/>
  <c r="K15" i="5"/>
  <c r="J15" i="5"/>
  <c r="I15" i="5"/>
  <c r="H15" i="5"/>
  <c r="G15" i="5"/>
  <c r="F15" i="5"/>
  <c r="E15" i="5"/>
  <c r="D15" i="5"/>
  <c r="C15" i="5"/>
  <c r="G5" i="50"/>
  <c r="F5" i="50"/>
  <c r="E5" i="50"/>
  <c r="D5" i="50"/>
  <c r="C5" i="50"/>
  <c r="C48" i="1"/>
  <c r="H3" i="2"/>
  <c r="H4" i="2"/>
  <c r="H5" i="2"/>
  <c r="H6" i="2"/>
  <c r="H7" i="2"/>
  <c r="H8" i="2"/>
  <c r="H9" i="2"/>
  <c r="H10" i="2"/>
  <c r="H11" i="2"/>
  <c r="H12" i="2"/>
  <c r="H13" i="2"/>
  <c r="H14" i="2"/>
  <c r="H15" i="2"/>
  <c r="C20" i="1"/>
  <c r="G3" i="2" l="1"/>
  <c r="I3" i="2" s="1"/>
  <c r="G4" i="2"/>
  <c r="I4" i="2" s="1"/>
  <c r="G5" i="2"/>
  <c r="I5" i="2" s="1"/>
  <c r="G6" i="2"/>
  <c r="I6" i="2" s="1"/>
  <c r="G7" i="2"/>
  <c r="I7" i="2" s="1"/>
  <c r="G8" i="2"/>
  <c r="I8" i="2" s="1"/>
  <c r="G9" i="2"/>
  <c r="I9" i="2" s="1"/>
  <c r="G10" i="2"/>
  <c r="I10" i="2" s="1"/>
  <c r="G11" i="2"/>
  <c r="I11" i="2" s="1"/>
  <c r="G12" i="2"/>
  <c r="I12" i="2" s="1"/>
  <c r="G13" i="2"/>
  <c r="G14" i="2"/>
  <c r="I14" i="2" s="1"/>
  <c r="G15" i="2"/>
  <c r="G2" i="2"/>
  <c r="I13" i="2" l="1"/>
  <c r="I15"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Shubham Adhikari</author>
    <author>Adesoji Ologun</author>
  </authors>
  <commentList>
    <comment ref="C7" authorId="0" shapeId="0" xr:uid="{00000000-0006-0000-0000-000001000000}">
      <text>
        <r>
          <rPr>
            <b/>
            <sz val="9"/>
            <color rgb="FF000000"/>
            <rFont val="Tahoma"/>
            <family val="2"/>
          </rPr>
          <t>Shubham Adhikari:</t>
        </r>
        <r>
          <rPr>
            <sz val="9"/>
            <color rgb="FF000000"/>
            <rFont val="Tahoma"/>
            <family val="2"/>
          </rPr>
          <t xml:space="preserve">
</t>
        </r>
        <r>
          <rPr>
            <sz val="9"/>
            <color rgb="FF000000"/>
            <rFont val="Tahoma"/>
            <family val="2"/>
          </rPr>
          <t>Demographic projection module in spectrum tool</t>
        </r>
      </text>
    </comment>
    <comment ref="C8" authorId="0" shapeId="0" xr:uid="{00000000-0006-0000-0000-000002000000}">
      <text>
        <r>
          <rPr>
            <b/>
            <sz val="9"/>
            <color rgb="FF000000"/>
            <rFont val="Tahoma"/>
            <family val="2"/>
          </rPr>
          <t>Shubham Adhikari:</t>
        </r>
        <r>
          <rPr>
            <sz val="9"/>
            <color rgb="FF000000"/>
            <rFont val="Tahoma"/>
            <family val="2"/>
          </rPr>
          <t xml:space="preserve">
</t>
        </r>
        <r>
          <rPr>
            <sz val="9"/>
            <color rgb="FF000000"/>
            <rFont val="Tahoma"/>
            <family val="2"/>
          </rPr>
          <t xml:space="preserve">Food and Agriculture Organization of the United Nations (2017) http://www.fao.org/faostat/en/#home
</t>
        </r>
        <r>
          <rPr>
            <sz val="9"/>
            <color rgb="FF000000"/>
            <rFont val="Tahoma"/>
            <family val="2"/>
          </rPr>
          <t xml:space="preserve">
</t>
        </r>
        <r>
          <rPr>
            <sz val="9"/>
            <color rgb="FF000000"/>
            <rFont val="Tahoma"/>
            <family val="2"/>
          </rPr>
          <t>Notes: The indicator was estimated using this formular. Number of food insecure persons (extracted from the FAO website) /Total population (NBS population estimate) *100 -  46000000/ 199,681,159 * 100</t>
        </r>
      </text>
    </comment>
    <comment ref="C9" authorId="0" shapeId="0" xr:uid="{00000000-0006-0000-0000-000003000000}">
      <text>
        <r>
          <rPr>
            <b/>
            <sz val="9"/>
            <color rgb="FF000000"/>
            <rFont val="Tahoma"/>
            <family val="2"/>
          </rPr>
          <t>Shubham Adhikari:</t>
        </r>
        <r>
          <rPr>
            <sz val="9"/>
            <color rgb="FF000000"/>
            <rFont val="Tahoma"/>
            <family val="2"/>
          </rPr>
          <t xml:space="preserve">
</t>
        </r>
        <r>
          <rPr>
            <sz val="9"/>
            <color rgb="FF000000"/>
            <rFont val="Tahoma"/>
            <family val="2"/>
          </rPr>
          <t>World Malaria Report 2018</t>
        </r>
      </text>
    </comment>
    <comment ref="C10" authorId="0" shapeId="0" xr:uid="{00000000-0006-0000-0000-000004000000}">
      <text>
        <r>
          <rPr>
            <b/>
            <sz val="9"/>
            <color rgb="FF000000"/>
            <rFont val="Tahoma"/>
            <family val="2"/>
          </rPr>
          <t>Shubham Adhikari:</t>
        </r>
        <r>
          <rPr>
            <sz val="9"/>
            <color rgb="FF000000"/>
            <rFont val="Tahoma"/>
            <family val="2"/>
          </rPr>
          <t xml:space="preserve">
</t>
        </r>
        <r>
          <rPr>
            <sz val="9"/>
            <color rgb="FF000000"/>
            <rFont val="Tahoma"/>
            <family val="2"/>
          </rPr>
          <t xml:space="preserve">United Nations Population Fund Country level data, Available at https://www.unfpa.org/data/dashboard/adolescent-youth </t>
        </r>
      </text>
    </comment>
    <comment ref="C11" authorId="0" shapeId="0" xr:uid="{00000000-0006-0000-0000-000005000000}">
      <text>
        <r>
          <rPr>
            <b/>
            <sz val="9"/>
            <color rgb="FF000000"/>
            <rFont val="Tahoma"/>
            <family val="2"/>
          </rPr>
          <t>Shubham Adhikari:</t>
        </r>
        <r>
          <rPr>
            <sz val="9"/>
            <color rgb="FF000000"/>
            <rFont val="Tahoma"/>
            <family val="2"/>
          </rPr>
          <t xml:space="preserve">
</t>
        </r>
        <r>
          <rPr>
            <sz val="9"/>
            <color rgb="FF000000"/>
            <rFont val="Tahoma"/>
            <family val="2"/>
          </rPr>
          <t xml:space="preserve">NDHS 2018
</t>
        </r>
      </text>
    </comment>
    <comment ref="C12" authorId="0" shapeId="0" xr:uid="{00000000-0006-0000-0000-000006000000}">
      <text>
        <r>
          <rPr>
            <b/>
            <sz val="9"/>
            <color rgb="FF000000"/>
            <rFont val="Tahoma"/>
            <family val="2"/>
          </rPr>
          <t>Shubham Adhikari:</t>
        </r>
        <r>
          <rPr>
            <sz val="9"/>
            <color rgb="FF000000"/>
            <rFont val="Tahoma"/>
            <family val="2"/>
          </rPr>
          <t xml:space="preserve">
</t>
        </r>
        <r>
          <rPr>
            <sz val="9"/>
            <color rgb="FF000000"/>
            <rFont val="Tahoma"/>
            <family val="2"/>
          </rPr>
          <t>NDHS 2013: percentage of children with fever who sought care</t>
        </r>
      </text>
    </comment>
    <comment ref="C13" authorId="0" shapeId="0" xr:uid="{00000000-0006-0000-0000-000007000000}">
      <text>
        <r>
          <rPr>
            <b/>
            <sz val="9"/>
            <color rgb="FF000000"/>
            <rFont val="Tahoma"/>
            <family val="2"/>
          </rPr>
          <t>Shubham Adhikari:</t>
        </r>
        <r>
          <rPr>
            <sz val="9"/>
            <color rgb="FF000000"/>
            <rFont val="Tahoma"/>
            <family val="2"/>
          </rPr>
          <t xml:space="preserve">
</t>
        </r>
        <r>
          <rPr>
            <sz val="9"/>
            <color rgb="FF000000"/>
            <rFont val="Tahoma"/>
            <family val="2"/>
          </rPr>
          <t>NDHS 2018</t>
        </r>
      </text>
    </comment>
    <comment ref="C16" authorId="0" shapeId="0" xr:uid="{00000000-0006-0000-0000-000008000000}">
      <text>
        <r>
          <rPr>
            <b/>
            <sz val="9"/>
            <color rgb="FF000000"/>
            <rFont val="Tahoma"/>
            <family val="2"/>
          </rPr>
          <t>Shubham Adhikari:</t>
        </r>
        <r>
          <rPr>
            <sz val="9"/>
            <color rgb="FF000000"/>
            <rFont val="Tahoma"/>
            <family val="2"/>
          </rPr>
          <t xml:space="preserve">
</t>
        </r>
        <r>
          <rPr>
            <sz val="9"/>
            <color rgb="FF000000"/>
            <rFont val="Tahoma"/>
            <family val="2"/>
          </rPr>
          <t xml:space="preserve">75 percent of labor force employed in Agriculture multiplied by percentage of farmers who are subsistence farming.
</t>
        </r>
        <r>
          <rPr>
            <sz val="9"/>
            <color rgb="FF000000"/>
            <rFont val="Tahoma"/>
            <family val="2"/>
          </rPr>
          <t xml:space="preserve">Source: Feed the future central monitoring system.
</t>
        </r>
        <r>
          <rPr>
            <sz val="9"/>
            <color rgb="FF000000"/>
            <rFont val="Tahoma"/>
            <family val="2"/>
          </rPr>
          <t xml:space="preserve">Percentage of farmers in Nigeria who are considered smallholders/subsistence farmers because they own less than 5 hectares of land.
</t>
        </r>
        <r>
          <rPr>
            <sz val="9"/>
            <color rgb="FF000000"/>
            <rFont val="Tahoma"/>
            <family val="2"/>
          </rPr>
          <t xml:space="preserve">
</t>
        </r>
        <r>
          <rPr>
            <sz val="9"/>
            <color rgb="FF000000"/>
            <rFont val="Tahoma"/>
            <family val="2"/>
          </rPr>
          <t>Jamie Anderson et al (2017), National Survey and Segmentation of Smallholder Households in Nigeria Understanding Their Demand for Financial, Agricultural, and Digital Solutions, Available at http://documents.worldbank.org/curated/en/316661513583254475/pdf/122092-WP-PUBLIC-Working-Paper-Survey-Segmentation-of-Smallholders-Nigeria-Oct-2017.pdf</t>
        </r>
      </text>
    </comment>
    <comment ref="C17" authorId="0" shapeId="0" xr:uid="{00000000-0006-0000-0000-000009000000}">
      <text>
        <r>
          <rPr>
            <b/>
            <sz val="9"/>
            <color rgb="FF000000"/>
            <rFont val="Tahoma"/>
            <family val="2"/>
          </rPr>
          <t>Shubham Adhikari:</t>
        </r>
        <r>
          <rPr>
            <sz val="9"/>
            <color rgb="FF000000"/>
            <rFont val="Tahoma"/>
            <family val="2"/>
          </rPr>
          <t xml:space="preserve">
</t>
        </r>
        <r>
          <rPr>
            <sz val="9"/>
            <color rgb="FF000000"/>
            <rFont val="Tahoma"/>
            <family val="2"/>
          </rPr>
          <t>Akande T. (no date), An overview of the Nigerian economy, Available at: https://unep.ch/etu/etp/events/Agriculture/nigeria.pdf</t>
        </r>
      </text>
    </comment>
    <comment ref="C18" authorId="1" shapeId="0" xr:uid="{00000000-0006-0000-0000-00000A000000}">
      <text>
        <r>
          <rPr>
            <b/>
            <sz val="10"/>
            <color rgb="FF000000"/>
            <rFont val="Tahoma"/>
            <family val="2"/>
          </rPr>
          <t>Adesoji Ologun:</t>
        </r>
        <r>
          <rPr>
            <sz val="10"/>
            <color rgb="FF000000"/>
            <rFont val="Tahoma"/>
            <family val="2"/>
          </rPr>
          <t xml:space="preserve">
</t>
        </r>
        <r>
          <rPr>
            <sz val="10"/>
            <color rgb="FF000000"/>
            <rFont val="Tahoma"/>
            <family val="2"/>
          </rPr>
          <t>Less than 3%. Extrapolated based on per capita consumption</t>
        </r>
      </text>
    </comment>
    <comment ref="C19" authorId="0" shapeId="0" xr:uid="{00000000-0006-0000-0000-00000B000000}">
      <text>
        <r>
          <rPr>
            <b/>
            <sz val="9"/>
            <color rgb="FF000000"/>
            <rFont val="Tahoma"/>
            <family val="2"/>
          </rPr>
          <t>Shubham Adhikari:</t>
        </r>
        <r>
          <rPr>
            <sz val="9"/>
            <color rgb="FF000000"/>
            <rFont val="Tahoma"/>
            <family val="2"/>
          </rPr>
          <t xml:space="preserve">
</t>
        </r>
        <r>
          <rPr>
            <sz val="9"/>
            <color rgb="FF000000"/>
            <rFont val="Tahoma"/>
            <family val="2"/>
          </rPr>
          <t xml:space="preserve">Macauley, H. (no date),  Cereal Crops: Rice, Maize, Millet, Sorghum, Wheat, available at https://www.afdb.org/fileadmin/uploads/afdb/Documents/Events/DakAgri2015/Cereal_Crops-_Rice__Maize__Millet__Sorghum__Wheat.pdf
</t>
        </r>
      </text>
    </comment>
    <comment ref="C23" authorId="0" shapeId="0" xr:uid="{00000000-0006-0000-0000-00000C000000}">
      <text>
        <r>
          <rPr>
            <b/>
            <sz val="9"/>
            <color rgb="FF000000"/>
            <rFont val="Tahoma"/>
            <family val="2"/>
          </rPr>
          <t>Shubham Adhikari:</t>
        </r>
        <r>
          <rPr>
            <sz val="9"/>
            <color rgb="FF000000"/>
            <rFont val="Tahoma"/>
            <family val="2"/>
          </rPr>
          <t xml:space="preserve">
</t>
        </r>
        <r>
          <rPr>
            <sz val="9"/>
            <color rgb="FF000000"/>
            <rFont val="Tahoma"/>
            <family val="2"/>
          </rPr>
          <t>MICS 2016-17</t>
        </r>
      </text>
    </comment>
    <comment ref="C29" authorId="0" shapeId="0" xr:uid="{00000000-0006-0000-0000-00000D000000}">
      <text>
        <r>
          <rPr>
            <b/>
            <sz val="9"/>
            <color indexed="81"/>
            <rFont val="Tahoma"/>
            <family val="2"/>
          </rPr>
          <t>Shubham Adhikari:</t>
        </r>
        <r>
          <rPr>
            <sz val="9"/>
            <color indexed="81"/>
            <rFont val="Tahoma"/>
            <family val="2"/>
          </rPr>
          <t xml:space="preserve">
DHS 2013</t>
        </r>
      </text>
    </comment>
    <comment ref="C37" authorId="0" shapeId="0" xr:uid="{00000000-0006-0000-0000-00000E000000}">
      <text>
        <r>
          <rPr>
            <b/>
            <sz val="9"/>
            <color indexed="81"/>
            <rFont val="Tahoma"/>
            <family val="2"/>
          </rPr>
          <t>Shubham Adhikari:</t>
        </r>
        <r>
          <rPr>
            <sz val="9"/>
            <color indexed="81"/>
            <rFont val="Tahoma"/>
            <family val="2"/>
          </rPr>
          <t xml:space="preserve">
NDHS 2018
</t>
        </r>
      </text>
    </comment>
    <comment ref="C38" authorId="0" shapeId="0" xr:uid="{00000000-0006-0000-0000-00000F000000}">
      <text>
        <r>
          <rPr>
            <b/>
            <sz val="9"/>
            <color indexed="81"/>
            <rFont val="Tahoma"/>
            <family val="2"/>
          </rPr>
          <t>Shubham Adhikari:</t>
        </r>
        <r>
          <rPr>
            <sz val="9"/>
            <color indexed="81"/>
            <rFont val="Tahoma"/>
            <family val="2"/>
          </rPr>
          <t xml:space="preserve">
NDHS 2018</t>
        </r>
      </text>
    </comment>
    <comment ref="C39" authorId="0" shapeId="0" xr:uid="{00000000-0006-0000-0000-000010000000}">
      <text>
        <r>
          <rPr>
            <b/>
            <sz val="9"/>
            <color indexed="81"/>
            <rFont val="Tahoma"/>
            <family val="2"/>
          </rPr>
          <t>Shubham Adhikari:</t>
        </r>
        <r>
          <rPr>
            <sz val="9"/>
            <color indexed="81"/>
            <rFont val="Tahoma"/>
            <family val="2"/>
          </rPr>
          <t xml:space="preserve">
NDHS 2018</t>
        </r>
      </text>
    </comment>
    <comment ref="C40" authorId="0" shapeId="0" xr:uid="{00000000-0006-0000-0000-000011000000}">
      <text>
        <r>
          <rPr>
            <b/>
            <sz val="9"/>
            <color rgb="FF000000"/>
            <rFont val="Tahoma"/>
            <family val="2"/>
          </rPr>
          <t>Shubham Adhikari:</t>
        </r>
        <r>
          <rPr>
            <sz val="9"/>
            <color rgb="FF000000"/>
            <rFont val="Tahoma"/>
            <family val="2"/>
          </rPr>
          <t xml:space="preserve">
</t>
        </r>
        <r>
          <rPr>
            <sz val="9"/>
            <color rgb="FF000000"/>
            <rFont val="Tahoma"/>
            <family val="2"/>
          </rPr>
          <t>NDHS 2013</t>
        </r>
      </text>
    </comment>
    <comment ref="C41" authorId="0" shapeId="0" xr:uid="{00000000-0006-0000-0000-000012000000}">
      <text>
        <r>
          <rPr>
            <b/>
            <sz val="9"/>
            <color rgb="FF000000"/>
            <rFont val="Tahoma"/>
            <family val="2"/>
          </rPr>
          <t>Shubham Adhikari:</t>
        </r>
        <r>
          <rPr>
            <sz val="9"/>
            <color rgb="FF000000"/>
            <rFont val="Tahoma"/>
            <family val="2"/>
          </rPr>
          <t xml:space="preserve">
</t>
        </r>
        <r>
          <rPr>
            <sz val="9"/>
            <color rgb="FF000000"/>
            <rFont val="Tahoma"/>
            <family val="2"/>
          </rPr>
          <t>Estimated using the LiST module of the Spectrum tool</t>
        </r>
      </text>
    </comment>
    <comment ref="C42" authorId="0" shapeId="0" xr:uid="{00000000-0006-0000-0000-000013000000}">
      <text>
        <r>
          <rPr>
            <b/>
            <sz val="9"/>
            <color rgb="FF000000"/>
            <rFont val="Tahoma"/>
            <family val="2"/>
          </rPr>
          <t>Shubham Adhikari:</t>
        </r>
        <r>
          <rPr>
            <sz val="9"/>
            <color rgb="FF000000"/>
            <rFont val="Tahoma"/>
            <family val="2"/>
          </rPr>
          <t xml:space="preserve">
</t>
        </r>
        <r>
          <rPr>
            <sz val="9"/>
            <color rgb="FF000000"/>
            <rFont val="Tahoma"/>
            <family val="2"/>
          </rPr>
          <t>Estimated using the LiST module of the Spectrum tool</t>
        </r>
      </text>
    </comment>
    <comment ref="C45" authorId="0" shapeId="0" xr:uid="{00000000-0006-0000-0000-000014000000}">
      <text>
        <r>
          <rPr>
            <b/>
            <sz val="9"/>
            <color rgb="FF000000"/>
            <rFont val="Tahoma"/>
            <family val="2"/>
          </rPr>
          <t>Shubham Adhikari:</t>
        </r>
        <r>
          <rPr>
            <sz val="9"/>
            <color rgb="FF000000"/>
            <rFont val="Tahoma"/>
            <family val="2"/>
          </rPr>
          <t xml:space="preserve">
</t>
        </r>
        <r>
          <rPr>
            <sz val="9"/>
            <color rgb="FF000000"/>
            <rFont val="Tahoma"/>
            <family val="2"/>
          </rPr>
          <t>Estimated using the LiST module of the Spectrum tool</t>
        </r>
      </text>
    </comment>
    <comment ref="C51" authorId="0" shapeId="0" xr:uid="{00000000-0006-0000-0000-000015000000}">
      <text>
        <r>
          <rPr>
            <b/>
            <sz val="9"/>
            <color indexed="81"/>
            <rFont val="Tahoma"/>
            <family val="2"/>
          </rPr>
          <t>Shubham Adhikari:</t>
        </r>
        <r>
          <rPr>
            <sz val="9"/>
            <color indexed="81"/>
            <rFont val="Tahoma"/>
            <family val="2"/>
          </rPr>
          <t xml:space="preserve">
MICS 2016-17</t>
        </r>
      </text>
    </comment>
    <comment ref="C58" authorId="0" shapeId="0" xr:uid="{00000000-0006-0000-0000-000016000000}">
      <text>
        <r>
          <rPr>
            <b/>
            <sz val="9"/>
            <color indexed="81"/>
            <rFont val="Tahoma"/>
            <family val="2"/>
          </rPr>
          <t>Shubham Adhikari:</t>
        </r>
        <r>
          <rPr>
            <sz val="9"/>
            <color indexed="81"/>
            <rFont val="Tahoma"/>
            <family val="2"/>
          </rPr>
          <t xml:space="preserve">
Akodu O.S. et al.(2016) Iron deficiency anaemia among apparently healthy pre-school children in Lagos, Nigeria, Afr Health Sci, 16(1), pp 61–68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Shubham Adhikari</author>
  </authors>
  <commentList>
    <comment ref="B2" authorId="0" shapeId="0" xr:uid="{00000000-0006-0000-0100-000001000000}">
      <text>
        <r>
          <rPr>
            <b/>
            <sz val="9"/>
            <color indexed="81"/>
            <rFont val="Tahoma"/>
            <family val="2"/>
          </rPr>
          <t>Shubham Adhikari:</t>
        </r>
        <r>
          <rPr>
            <sz val="9"/>
            <color indexed="81"/>
            <rFont val="Tahoma"/>
            <family val="2"/>
          </rPr>
          <t xml:space="preserve">
Estimated using demographic projection module in the spectrum tool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Shubham Adhikari</author>
  </authors>
  <commentList>
    <comment ref="C3" authorId="0" shapeId="0" xr:uid="{00000000-0006-0000-0200-000001000000}">
      <text>
        <r>
          <rPr>
            <b/>
            <sz val="9"/>
            <color rgb="FF000000"/>
            <rFont val="Tahoma"/>
            <family val="2"/>
          </rPr>
          <t>Shubham Adhikari:</t>
        </r>
        <r>
          <rPr>
            <sz val="9"/>
            <color rgb="FF000000"/>
            <rFont val="Tahoma"/>
            <family val="2"/>
          </rPr>
          <t xml:space="preserve">
</t>
        </r>
        <r>
          <rPr>
            <sz val="9"/>
            <color rgb="FF000000"/>
            <rFont val="Tahoma"/>
            <family val="2"/>
          </rPr>
          <t>Calculated using GBD IMHE 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Adesoji Ologun</author>
  </authors>
  <commentList>
    <comment ref="G14" authorId="0" shapeId="0" xr:uid="{00000000-0006-0000-0300-000001000000}">
      <text>
        <r>
          <rPr>
            <b/>
            <sz val="10"/>
            <color rgb="FF000000"/>
            <rFont val="Tahoma"/>
            <family val="2"/>
          </rPr>
          <t>Adesoji Ologun:</t>
        </r>
        <r>
          <rPr>
            <sz val="10"/>
            <color rgb="FF000000"/>
            <rFont val="Tahoma"/>
            <family val="2"/>
          </rPr>
          <t xml:space="preserve">
</t>
        </r>
        <r>
          <rPr>
            <sz val="10"/>
            <color rgb="FF000000"/>
            <rFont val="Tahoma"/>
            <family val="2"/>
          </rPr>
          <t>For anaemia in pregnant women, it was not disaggregated according to the different age groups. The point estimate provided for year 2016 was included in this table. Data extracted from WHO GHO, available at: http://apps.who.int/gho/data/view.main.ANAEMIAWOMENPWv?lang=en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Adesoji Ologun</author>
  </authors>
  <commentList>
    <comment ref="C2" authorId="0" shapeId="0" xr:uid="{00000000-0006-0000-0400-000001000000}">
      <text>
        <r>
          <rPr>
            <b/>
            <sz val="10"/>
            <color rgb="FF000000"/>
            <rFont val="Tahoma"/>
            <family val="2"/>
          </rPr>
          <t>Adesoji Ologun:</t>
        </r>
        <r>
          <rPr>
            <sz val="10"/>
            <color rgb="FF000000"/>
            <rFont val="Tahoma"/>
            <family val="2"/>
          </rPr>
          <t xml:space="preserve">
</t>
        </r>
        <r>
          <rPr>
            <sz val="10"/>
            <color rgb="FF000000"/>
            <rFont val="Tahoma"/>
            <family val="2"/>
          </rPr>
          <t xml:space="preserve">Data Source is NDHS 2018: Adjustment made to the age bandining in NDHS 2018 to fit the optima databook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Adesoji Ologun</author>
    <author>Nick Scott</author>
  </authors>
  <commentList>
    <comment ref="B2" authorId="0" shapeId="0" xr:uid="{00000000-0006-0000-0800-000001000000}">
      <text>
        <r>
          <rPr>
            <b/>
            <sz val="10"/>
            <color rgb="FF000000"/>
            <rFont val="Tahoma"/>
            <family val="2"/>
          </rPr>
          <t>Adesoji Ologun:</t>
        </r>
        <r>
          <rPr>
            <sz val="10"/>
            <color rgb="FF000000"/>
            <rFont val="Tahoma"/>
            <family val="2"/>
          </rPr>
          <t xml:space="preserve">
</t>
        </r>
        <r>
          <rPr>
            <b/>
            <sz val="10"/>
            <color rgb="FF000000"/>
            <rFont val="Arial"/>
            <family val="2"/>
          </rPr>
          <t xml:space="preserve">Target Population- </t>
        </r>
        <r>
          <rPr>
            <sz val="10"/>
            <color rgb="FF000000"/>
            <rFont val="Arial"/>
            <family val="2"/>
          </rPr>
          <t xml:space="preserve">Pregnant women below poverty line. Nutritional care and support for pregnant and lactating women in emergencies. 
</t>
        </r>
        <r>
          <rPr>
            <sz val="10"/>
            <color rgb="FF000000"/>
            <rFont val="Tahoma"/>
            <family val="2"/>
          </rPr>
          <t xml:space="preserve">
</t>
        </r>
        <r>
          <rPr>
            <sz val="10"/>
            <color rgb="FF000000"/>
            <rFont val="Tahoma"/>
            <family val="2"/>
          </rPr>
          <t xml:space="preserve">Coverage figure not available in any survey of programme data. The intervention is not widely implemented in Nigeria
</t>
        </r>
      </text>
    </comment>
    <comment ref="D2" authorId="0" shapeId="0" xr:uid="{00000000-0006-0000-0800-000002000000}">
      <text>
        <r>
          <rPr>
            <b/>
            <sz val="10"/>
            <color rgb="FF000000"/>
            <rFont val="Tahoma"/>
            <family val="2"/>
          </rPr>
          <t>Adesoji Ologun:</t>
        </r>
        <r>
          <rPr>
            <sz val="10"/>
            <color rgb="FF000000"/>
            <rFont val="Tahoma"/>
            <family val="2"/>
          </rPr>
          <t xml:space="preserve">
</t>
        </r>
        <r>
          <rPr>
            <b/>
            <sz val="10"/>
            <color rgb="FF000000"/>
            <rFont val="Tahoma"/>
            <family val="2"/>
          </rPr>
          <t>Source</t>
        </r>
        <r>
          <rPr>
            <sz val="10"/>
            <color rgb="FF000000"/>
            <rFont val="Tahoma"/>
            <family val="2"/>
          </rPr>
          <t xml:space="preserve"> - Basic Health Care Provision Fund Costing by WorldBank 2017/2018
</t>
        </r>
        <r>
          <rPr>
            <sz val="10"/>
            <color rgb="FF000000"/>
            <rFont val="Tahoma"/>
            <family val="2"/>
          </rPr>
          <t xml:space="preserve">
</t>
        </r>
        <r>
          <rPr>
            <b/>
            <sz val="10"/>
            <color rgb="FF000000"/>
            <rFont val="Tahoma"/>
            <family val="2"/>
          </rPr>
          <t xml:space="preserve">Cost Perspective </t>
        </r>
        <r>
          <rPr>
            <sz val="10"/>
            <color rgb="FF000000"/>
            <rFont val="Tahoma"/>
            <family val="2"/>
          </rPr>
          <t xml:space="preserve">- Programme perspective. Originally from Health facility perspective, but marked up by 10% to reflect programme cost.
</t>
        </r>
        <r>
          <rPr>
            <sz val="10"/>
            <color rgb="FF000000"/>
            <rFont val="Tahoma"/>
            <family val="2"/>
          </rPr>
          <t xml:space="preserve">
</t>
        </r>
        <r>
          <rPr>
            <b/>
            <sz val="10"/>
            <color rgb="FF000000"/>
            <rFont val="Tahoma"/>
            <family val="2"/>
          </rPr>
          <t xml:space="preserve">Cost Elements </t>
        </r>
        <r>
          <rPr>
            <sz val="10"/>
            <color rgb="FF000000"/>
            <rFont val="Tahoma"/>
            <family val="2"/>
          </rPr>
          <t xml:space="preserve">- Drugs and consumables, personel/staff cost, hospital overhead and 10% mark-up for programme cost. </t>
        </r>
      </text>
    </comment>
    <comment ref="B3" authorId="0" shapeId="0" xr:uid="{00000000-0006-0000-0800-000003000000}">
      <text>
        <r>
          <rPr>
            <b/>
            <sz val="10"/>
            <color rgb="FF000000"/>
            <rFont val="Tahoma"/>
            <family val="2"/>
          </rPr>
          <t>Adesoji Ologun:</t>
        </r>
        <r>
          <rPr>
            <sz val="10"/>
            <color rgb="FF000000"/>
            <rFont val="Tahoma"/>
            <family val="2"/>
          </rPr>
          <t xml:space="preserve">
</t>
        </r>
        <r>
          <rPr>
            <b/>
            <sz val="10"/>
            <color rgb="FF000000"/>
            <rFont val="Arial"/>
            <family val="2"/>
          </rPr>
          <t xml:space="preserve">Target population </t>
        </r>
        <r>
          <rPr>
            <sz val="10"/>
            <color rgb="FF000000"/>
            <rFont val="Arial"/>
            <family val="2"/>
          </rPr>
          <t>- Pregnant women. Calcium supplementation for prevention and treatment of pre-eclampsia and eclampsia</t>
        </r>
        <r>
          <rPr>
            <sz val="10"/>
            <color rgb="FF000000"/>
            <rFont val="Arial"/>
            <family val="2"/>
          </rPr>
          <t xml:space="preserve"> 
</t>
        </r>
        <r>
          <rPr>
            <sz val="10"/>
            <color rgb="FF000000"/>
            <rFont val="Tahoma"/>
            <family val="2"/>
          </rPr>
          <t xml:space="preserve">
</t>
        </r>
        <r>
          <rPr>
            <sz val="10"/>
            <color rgb="FF000000"/>
            <rFont val="Tahoma"/>
            <family val="2"/>
          </rPr>
          <t xml:space="preserve">Coverage not available in surveys reviewed. Consider using ANC coverage. Current ANC coverage is 67.0%, 4+ ANC - 56.8%
</t>
        </r>
        <r>
          <rPr>
            <sz val="10"/>
            <color rgb="FF000000"/>
            <rFont val="Tahoma"/>
            <family val="2"/>
          </rPr>
          <t xml:space="preserve">
</t>
        </r>
        <r>
          <rPr>
            <b/>
            <sz val="10"/>
            <color rgb="FF000000"/>
            <rFont val="Tahoma"/>
            <family val="2"/>
          </rPr>
          <t>Source</t>
        </r>
        <r>
          <rPr>
            <sz val="10"/>
            <color rgb="FF000000"/>
            <rFont val="Tahoma"/>
            <family val="2"/>
          </rPr>
          <t xml:space="preserve"> - NDHS 2018
</t>
        </r>
        <r>
          <rPr>
            <sz val="10"/>
            <color rgb="FF000000"/>
            <rFont val="Tahoma"/>
            <family val="2"/>
          </rPr>
          <t xml:space="preserve">
</t>
        </r>
        <r>
          <rPr>
            <sz val="10"/>
            <color rgb="FF000000"/>
            <rFont val="Tahoma"/>
            <family val="2"/>
          </rPr>
          <t>WHO guideline - In Populations with low dietary calcium intake, daily calcium supplemantation is recommended to reduce risk of pre-ecclampsia</t>
        </r>
      </text>
    </comment>
    <comment ref="D3" authorId="0" shapeId="0" xr:uid="{00000000-0006-0000-0800-000004000000}">
      <text>
        <r>
          <rPr>
            <b/>
            <sz val="10"/>
            <color rgb="FF000000"/>
            <rFont val="Tahoma"/>
            <family val="2"/>
          </rPr>
          <t xml:space="preserve">Adesoji Ologun:
</t>
        </r>
        <r>
          <rPr>
            <b/>
            <sz val="10"/>
            <color rgb="FF000000"/>
            <rFont val="Tahoma"/>
            <family val="2"/>
          </rPr>
          <t xml:space="preserve">
</t>
        </r>
        <r>
          <rPr>
            <b/>
            <sz val="10"/>
            <color rgb="FF000000"/>
            <rFont val="+mn-lt"/>
            <charset val="1"/>
          </rPr>
          <t>Source</t>
        </r>
        <r>
          <rPr>
            <sz val="10"/>
            <color rgb="FF000000"/>
            <rFont val="+mn-lt"/>
            <charset val="1"/>
          </rPr>
          <t xml:space="preserve"> - Basic Health Care Provision Fund Costing by WorldBank
</t>
        </r>
        <r>
          <rPr>
            <sz val="10"/>
            <color rgb="FF000000"/>
            <rFont val="+mn-lt"/>
            <charset val="1"/>
          </rPr>
          <t xml:space="preserve">
</t>
        </r>
        <r>
          <rPr>
            <b/>
            <sz val="10"/>
            <color rgb="FF000000"/>
            <rFont val="+mn-lt"/>
            <charset val="1"/>
          </rPr>
          <t xml:space="preserve">Cost Perspective </t>
        </r>
        <r>
          <rPr>
            <sz val="10"/>
            <color rgb="FF000000"/>
            <rFont val="+mn-lt"/>
            <charset val="1"/>
          </rPr>
          <t xml:space="preserve">- Programme perspective. Originally from Health facility perspective, but marked up by 10% to reflect programme cost.
</t>
        </r>
        <r>
          <rPr>
            <sz val="10"/>
            <color rgb="FF000000"/>
            <rFont val="+mn-lt"/>
            <charset val="1"/>
          </rPr>
          <t xml:space="preserve">
</t>
        </r>
        <r>
          <rPr>
            <b/>
            <sz val="10"/>
            <color rgb="FF000000"/>
            <rFont val="+mn-lt"/>
            <charset val="1"/>
          </rPr>
          <t xml:space="preserve">Cost Elements </t>
        </r>
        <r>
          <rPr>
            <sz val="10"/>
            <color rgb="FF000000"/>
            <rFont val="+mn-lt"/>
            <charset val="1"/>
          </rPr>
          <t xml:space="preserve">- Drugs and consumables, personel/staff cost, hospital overhead and 10% mark-up for programme cost. </t>
        </r>
        <r>
          <rPr>
            <sz val="10"/>
            <color rgb="FF000000"/>
            <rFont val="+mn-lt"/>
            <charset val="1"/>
          </rPr>
          <t xml:space="preserve">
</t>
        </r>
      </text>
    </comment>
    <comment ref="B4" authorId="0" shapeId="0" xr:uid="{00000000-0006-0000-0800-000005000000}">
      <text>
        <r>
          <rPr>
            <b/>
            <sz val="10"/>
            <color rgb="FF000000"/>
            <rFont val="Tahoma"/>
            <family val="2"/>
          </rPr>
          <t>Adesoji Ologun:</t>
        </r>
        <r>
          <rPr>
            <sz val="10"/>
            <color rgb="FF000000"/>
            <rFont val="Tahoma"/>
            <family val="2"/>
          </rPr>
          <t xml:space="preserve">
</t>
        </r>
        <r>
          <rPr>
            <b/>
            <sz val="10"/>
            <color rgb="FF000000"/>
            <rFont val="Arial"/>
            <family val="2"/>
          </rPr>
          <t>Target population</t>
        </r>
        <r>
          <rPr>
            <sz val="10"/>
            <color rgb="FF000000"/>
            <rFont val="Arial"/>
            <family val="2"/>
          </rPr>
          <t xml:space="preserve">: Extremely vulnurable household (bottom 5%), Conditionality - Cash transfer was conditional but based on soft conditionalities such as participation in savings group and literacy programs. The transfer was to help them meet their nutritional needs, recover assets, and overcome barriers to income-generating activities. </t>
        </r>
        <r>
          <rPr>
            <sz val="10"/>
            <color rgb="FF000000"/>
            <rFont val="Tahoma"/>
            <family val="2"/>
          </rPr>
          <t xml:space="preserve">
</t>
        </r>
        <r>
          <rPr>
            <sz val="10"/>
            <color rgb="FF000000"/>
            <rFont val="Tahoma"/>
            <family val="2"/>
          </rPr>
          <t xml:space="preserve">
</t>
        </r>
        <r>
          <rPr>
            <sz val="10"/>
            <color rgb="FF000000"/>
            <rFont val="Tahoma"/>
            <family val="2"/>
          </rPr>
          <t xml:space="preserve">Coverage figure not available in surveys and programme data. Pockets of beneficiaries  in different part of the country. 
</t>
        </r>
        <r>
          <rPr>
            <sz val="10"/>
            <color rgb="FF000000"/>
            <rFont val="Tahoma"/>
            <family val="2"/>
          </rPr>
          <t xml:space="preserve">
</t>
        </r>
        <r>
          <rPr>
            <sz val="10"/>
            <color rgb="FF000000"/>
            <rFont val="Arial"/>
            <family val="2"/>
          </rPr>
          <t xml:space="preserve">From April 2013-March 2014, 20,133 women enrolled in the CCT. for the SURE-P MCH programme. 5,000 was transfered over a year, Transfer and programme cost not available. </t>
        </r>
      </text>
    </comment>
    <comment ref="D4" authorId="0" shapeId="0" xr:uid="{00000000-0006-0000-0800-000006000000}">
      <text>
        <r>
          <rPr>
            <b/>
            <sz val="10"/>
            <color rgb="FF000000"/>
            <rFont val="Tahoma"/>
            <family val="2"/>
          </rPr>
          <t>Adesoji Ologun:</t>
        </r>
        <r>
          <rPr>
            <sz val="10"/>
            <color rgb="FF000000"/>
            <rFont val="Tahoma"/>
            <family val="2"/>
          </rPr>
          <t xml:space="preserve">
</t>
        </r>
        <r>
          <rPr>
            <sz val="10"/>
            <color rgb="FF000000"/>
            <rFont val="Arial"/>
            <family val="2"/>
          </rPr>
          <t xml:space="preserve">Source: Feed the Future Nigeria Livelihoods Project 
</t>
        </r>
        <r>
          <rPr>
            <sz val="10"/>
            <color rgb="FF000000"/>
            <rFont val="Arial"/>
            <family val="2"/>
          </rPr>
          <t xml:space="preserve">
</t>
        </r>
        <r>
          <rPr>
            <sz val="10"/>
            <color rgb="FF000000"/>
            <rFont val="Arial"/>
            <family val="2"/>
          </rPr>
          <t xml:space="preserve">Cost Perspective - Programme perspective
</t>
        </r>
        <r>
          <rPr>
            <sz val="10"/>
            <color rgb="FF000000"/>
            <rFont val="Tahoma"/>
            <family val="2"/>
          </rPr>
          <t xml:space="preserve">
</t>
        </r>
        <r>
          <rPr>
            <sz val="10"/>
            <color rgb="FF000000"/>
            <rFont val="Tahoma"/>
            <family val="2"/>
          </rPr>
          <t xml:space="preserve">Cost element includes:disbursed cash, bank charges, trainings, assessments, local partner overheads, monitoring and supervision, staffing costs to deliver cash transfer to 2,740 households. $561 per household - all 2,740 households received N5,000 ($14) monthly for 15 months.
</t>
        </r>
        <r>
          <rPr>
            <sz val="10"/>
            <color rgb="FF000000"/>
            <rFont val="Tahoma"/>
            <family val="2"/>
          </rPr>
          <t xml:space="preserve">
</t>
        </r>
        <r>
          <rPr>
            <sz val="10"/>
            <color rgb="FF000000"/>
            <rFont val="Tahoma"/>
            <family val="2"/>
          </rPr>
          <t xml:space="preserve">The Cash-transfer ratio is about 1.67. This is relatively high compared to what has been observed from similar programmes (0.14-1.32). 
</t>
        </r>
        <r>
          <rPr>
            <sz val="10"/>
            <color rgb="FF000000"/>
            <rFont val="Tahoma"/>
            <family val="2"/>
          </rPr>
          <t xml:space="preserve">
</t>
        </r>
        <r>
          <rPr>
            <sz val="10"/>
            <color rgb="FF000000"/>
            <rFont val="Tahoma"/>
            <family val="2"/>
          </rPr>
          <t xml:space="preserve">Report found at </t>
        </r>
        <r>
          <rPr>
            <sz val="10"/>
            <color rgb="FF000000"/>
            <rFont val="Arial"/>
            <family val="2"/>
          </rPr>
          <t>https://www.rescue.org/report/cost-efficiency-unconditional-cash-transfers</t>
        </r>
        <r>
          <rPr>
            <sz val="10"/>
            <color rgb="FF000000"/>
            <rFont val="Tahoma"/>
            <family val="2"/>
          </rPr>
          <t xml:space="preserve"> </t>
        </r>
      </text>
    </comment>
    <comment ref="B5" authorId="0" shapeId="0" xr:uid="{00000000-0006-0000-0800-000007000000}">
      <text>
        <r>
          <rPr>
            <b/>
            <sz val="10"/>
            <color rgb="FF000000"/>
            <rFont val="Tahoma"/>
            <family val="2"/>
          </rPr>
          <t>Adesoji Ologun:</t>
        </r>
        <r>
          <rPr>
            <sz val="10"/>
            <color rgb="FF000000"/>
            <rFont val="Tahoma"/>
            <family val="2"/>
          </rPr>
          <t xml:space="preserve">
</t>
        </r>
        <r>
          <rPr>
            <b/>
            <sz val="10"/>
            <color rgb="FF000000"/>
            <rFont val="Tahoma"/>
            <family val="2"/>
          </rPr>
          <t>Target Population</t>
        </r>
        <r>
          <rPr>
            <sz val="10"/>
            <color rgb="FF000000"/>
            <rFont val="Tahoma"/>
            <family val="2"/>
          </rPr>
          <t xml:space="preserve">: All Newborns. 
</t>
        </r>
        <r>
          <rPr>
            <sz val="10"/>
            <color rgb="FF000000"/>
            <rFont val="Tahoma"/>
            <family val="2"/>
          </rPr>
          <t xml:space="preserve">
</t>
        </r>
        <r>
          <rPr>
            <sz val="10"/>
            <color rgb="FF000000"/>
            <rFont val="Tahoma"/>
            <family val="2"/>
          </rPr>
          <t xml:space="preserve">Coverage data not available in the surveys checked. May consider using Facility birth or SBA birth  coverage, on the assumption that it's a wide-spread practice and all birth attendants have been trained to do that. This may not be the case. 
</t>
        </r>
        <r>
          <rPr>
            <sz val="10"/>
            <color rgb="FF000000"/>
            <rFont val="Tahoma"/>
            <family val="2"/>
          </rPr>
          <t xml:space="preserve">
</t>
        </r>
        <r>
          <rPr>
            <sz val="10"/>
            <color rgb="FF000000"/>
            <rFont val="Tahoma"/>
            <family val="2"/>
          </rPr>
          <t xml:space="preserve">Coverage of Facility delivery - 39.4%
</t>
        </r>
        <r>
          <rPr>
            <sz val="10"/>
            <color rgb="FF000000"/>
            <rFont val="Tahoma"/>
            <family val="2"/>
          </rPr>
          <t xml:space="preserve">Coverage of SBA delivery - 43.4%
</t>
        </r>
        <r>
          <rPr>
            <sz val="10"/>
            <color rgb="FF000000"/>
            <rFont val="Tahoma"/>
            <family val="2"/>
          </rPr>
          <t xml:space="preserve">
</t>
        </r>
        <r>
          <rPr>
            <b/>
            <sz val="10"/>
            <color rgb="FF000000"/>
            <rFont val="Tahoma"/>
            <family val="2"/>
          </rPr>
          <t xml:space="preserve">Source </t>
        </r>
        <r>
          <rPr>
            <sz val="10"/>
            <color rgb="FF000000"/>
            <rFont val="Tahoma"/>
            <family val="2"/>
          </rPr>
          <t>- NDHS 2018</t>
        </r>
      </text>
    </comment>
    <comment ref="D5" authorId="0" shapeId="0" xr:uid="{00000000-0006-0000-0800-000008000000}">
      <text>
        <r>
          <rPr>
            <b/>
            <sz val="10"/>
            <color rgb="FF000000"/>
            <rFont val="Tahoma"/>
            <family val="2"/>
          </rPr>
          <t>Adesoji Ologun:</t>
        </r>
        <r>
          <rPr>
            <sz val="10"/>
            <color rgb="FF000000"/>
            <rFont val="Tahoma"/>
            <family val="2"/>
          </rPr>
          <t xml:space="preserve">
</t>
        </r>
        <r>
          <rPr>
            <sz val="10"/>
            <color rgb="FF000000"/>
            <rFont val="Tahoma"/>
            <family val="2"/>
          </rPr>
          <t xml:space="preserve">Training cost of birth attendants. Delayed Cord Clamping will be delivered with other modules on resurcitation and care of newborn. The cost per person trained will be pro-rated
</t>
        </r>
      </text>
    </comment>
    <comment ref="B6" authorId="0" shapeId="0" xr:uid="{00000000-0006-0000-0800-000009000000}">
      <text>
        <r>
          <rPr>
            <b/>
            <sz val="10"/>
            <color rgb="FF000000"/>
            <rFont val="Tahoma"/>
            <family val="2"/>
          </rPr>
          <t>Adesoji Ologun:</t>
        </r>
        <r>
          <rPr>
            <sz val="10"/>
            <color rgb="FF000000"/>
            <rFont val="Tahoma"/>
            <family val="2"/>
          </rPr>
          <t xml:space="preserve">
</t>
        </r>
        <r>
          <rPr>
            <b/>
            <sz val="10"/>
            <color rgb="FF000000"/>
            <rFont val="Tahoma"/>
            <family val="2"/>
          </rPr>
          <t>Target Population</t>
        </r>
        <r>
          <rPr>
            <sz val="10"/>
            <color rgb="FF000000"/>
            <rFont val="Tahoma"/>
            <family val="2"/>
          </rPr>
          <t xml:space="preserve">: Women of reproductive age group?
</t>
        </r>
        <r>
          <rPr>
            <sz val="10"/>
            <color rgb="FF000000"/>
            <rFont val="Tahoma"/>
            <family val="2"/>
          </rPr>
          <t xml:space="preserve">
</t>
        </r>
        <r>
          <rPr>
            <sz val="10"/>
            <color rgb="FF000000"/>
            <rFont val="Tahoma"/>
            <family val="2"/>
          </rPr>
          <t xml:space="preserve">12.0%  - Percentage of Married women using any modern contraceptive
</t>
        </r>
        <r>
          <rPr>
            <sz val="10"/>
            <color rgb="FF000000"/>
            <rFont val="Tahoma"/>
            <family val="2"/>
          </rPr>
          <t xml:space="preserve">
</t>
        </r>
        <r>
          <rPr>
            <sz val="10"/>
            <color rgb="FF000000"/>
            <rFont val="Tahoma"/>
            <family val="2"/>
          </rPr>
          <t xml:space="preserve">16.6% - Percentage of married women using ANY contraceptive method
</t>
        </r>
        <r>
          <rPr>
            <sz val="10"/>
            <color rgb="FF000000"/>
            <rFont val="Tahoma"/>
            <family val="2"/>
          </rPr>
          <t xml:space="preserve">
</t>
        </r>
        <r>
          <rPr>
            <sz val="10"/>
            <color rgb="FF000000"/>
            <rFont val="Tahoma"/>
            <family val="2"/>
          </rPr>
          <t xml:space="preserve">
</t>
        </r>
        <r>
          <rPr>
            <sz val="10"/>
            <color rgb="FF000000"/>
            <rFont val="Tahoma"/>
            <family val="2"/>
          </rPr>
          <t xml:space="preserve">27.7% - Percentage of sexually active unmarried women currently using modern contraceptive method
</t>
        </r>
        <r>
          <rPr>
            <sz val="10"/>
            <color rgb="FF000000"/>
            <rFont val="Tahoma"/>
            <family val="2"/>
          </rPr>
          <t xml:space="preserve">
</t>
        </r>
        <r>
          <rPr>
            <sz val="10"/>
            <color rgb="FF000000"/>
            <rFont val="Tahoma"/>
            <family val="2"/>
          </rPr>
          <t xml:space="preserve">37.0% - Percentage of sexually active unmarried pregnant women currently using any contraceptive method
</t>
        </r>
        <r>
          <rPr>
            <sz val="10"/>
            <color rgb="FF000000"/>
            <rFont val="Tahoma"/>
            <family val="2"/>
          </rPr>
          <t xml:space="preserve">
</t>
        </r>
        <r>
          <rPr>
            <sz val="10"/>
            <color rgb="FF000000"/>
            <rFont val="Tahoma"/>
            <family val="2"/>
          </rPr>
          <t xml:space="preserve">Source - NDHS 2018
</t>
        </r>
      </text>
    </comment>
    <comment ref="D6" authorId="0" shapeId="0" xr:uid="{00000000-0006-0000-0800-00000A000000}">
      <text>
        <r>
          <rPr>
            <b/>
            <sz val="10"/>
            <color rgb="FF000000"/>
            <rFont val="Tahoma"/>
            <family val="2"/>
          </rPr>
          <t xml:space="preserve">Adesoji Ologun:
</t>
        </r>
        <r>
          <rPr>
            <b/>
            <sz val="10"/>
            <color rgb="FF000000"/>
            <rFont val="Tahoma"/>
            <family val="2"/>
          </rPr>
          <t xml:space="preserve">
</t>
        </r>
        <r>
          <rPr>
            <b/>
            <sz val="10"/>
            <color rgb="FF000000"/>
            <rFont val="Arial"/>
            <family val="2"/>
          </rPr>
          <t>Source</t>
        </r>
        <r>
          <rPr>
            <sz val="10"/>
            <color rgb="FF000000"/>
            <rFont val="Arial"/>
            <family val="2"/>
          </rPr>
          <t xml:space="preserve"> - Basic Health Care Provision Fund Costing by WorldBank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Originally from Health facility perspective, but marked up by 10% to reflect programme cost.
</t>
        </r>
        <r>
          <rPr>
            <sz val="10"/>
            <color rgb="FF000000"/>
            <rFont val="Arial"/>
            <family val="2"/>
          </rPr>
          <t xml:space="preserve">
</t>
        </r>
        <r>
          <rPr>
            <b/>
            <sz val="10"/>
            <color rgb="FF000000"/>
            <rFont val="Arial"/>
            <family val="2"/>
          </rPr>
          <t xml:space="preserve">Cost Elements </t>
        </r>
        <r>
          <rPr>
            <sz val="10"/>
            <color rgb="FF000000"/>
            <rFont val="Arial"/>
            <family val="2"/>
          </rPr>
          <t xml:space="preserve">- Drugs and consumables, personel/staff cost, hospital overhead and 10% mark-up for programme cost. </t>
        </r>
        <r>
          <rPr>
            <sz val="10"/>
            <color rgb="FF000000"/>
            <rFont val="Arial"/>
            <family val="2"/>
          </rPr>
          <t xml:space="preserve">
</t>
        </r>
        <r>
          <rPr>
            <sz val="10"/>
            <color rgb="FF000000"/>
            <rFont val="Tahoma"/>
            <family val="2"/>
          </rPr>
          <t>For this estimate, a method-mix weighted average unit cost was used. Pills condoms and implants are the key cost drivers</t>
        </r>
      </text>
    </comment>
    <comment ref="B7" authorId="0" shapeId="0" xr:uid="{00000000-0006-0000-0800-00000B000000}">
      <text>
        <r>
          <rPr>
            <b/>
            <sz val="10"/>
            <color rgb="FF000000"/>
            <rFont val="Tahoma"/>
            <family val="2"/>
          </rPr>
          <t>Adesoji Ologun:</t>
        </r>
        <r>
          <rPr>
            <sz val="10"/>
            <color rgb="FF000000"/>
            <rFont val="Tahoma"/>
            <family val="2"/>
          </rPr>
          <t xml:space="preserve">
</t>
        </r>
        <r>
          <rPr>
            <b/>
            <sz val="10"/>
            <color rgb="FF000000"/>
            <rFont val="Arial"/>
            <family val="2"/>
          </rPr>
          <t xml:space="preserve">Target Population </t>
        </r>
        <r>
          <rPr>
            <sz val="10"/>
            <color rgb="FF000000"/>
            <rFont val="Arial"/>
            <family val="2"/>
          </rPr>
          <t>- Whole population.</t>
        </r>
        <r>
          <rPr>
            <sz val="10"/>
            <color rgb="FF000000"/>
            <rFont val="Arial"/>
            <family val="2"/>
          </rPr>
          <t xml:space="preserve"> 
</t>
        </r>
        <r>
          <rPr>
            <sz val="10"/>
            <color rgb="FF000000"/>
            <rFont val="Tahoma"/>
            <family val="2"/>
          </rPr>
          <t xml:space="preserve">
</t>
        </r>
        <r>
          <rPr>
            <sz val="10"/>
            <color rgb="FF000000"/>
            <rFont val="Tahoma"/>
            <family val="2"/>
          </rPr>
          <t xml:space="preserve">Some of the food fortification interventions are still at the pilot phase, National coverage data not available. 
</t>
        </r>
        <r>
          <rPr>
            <sz val="10"/>
            <color rgb="FF000000"/>
            <rFont val="Arial"/>
            <family val="2"/>
          </rPr>
          <t xml:space="preserve">
</t>
        </r>
        <r>
          <rPr>
            <sz val="10"/>
            <color rgb="FF000000"/>
            <rFont val="Arial"/>
            <family val="2"/>
          </rPr>
          <t xml:space="preserve">Subnational estimates available - Source: Fortification assessment coverage toolkit (fact) survey in two Nigerian states: Ebonyi and Sokoto, 2017 
</t>
        </r>
        <r>
          <rPr>
            <sz val="10"/>
            <color rgb="FF000000"/>
            <rFont val="Arial"/>
            <family val="2"/>
          </rPr>
          <t xml:space="preserve">
</t>
        </r>
        <r>
          <rPr>
            <b/>
            <sz val="10"/>
            <color rgb="FF000000"/>
            <rFont val="Arial"/>
            <family val="2"/>
          </rPr>
          <t xml:space="preserve">Wheat
</t>
        </r>
        <r>
          <rPr>
            <sz val="10"/>
            <color rgb="FF000000"/>
            <rFont val="Arial"/>
            <family val="2"/>
          </rPr>
          <t xml:space="preserve">Sokoto - 7.3%
</t>
        </r>
        <r>
          <rPr>
            <sz val="10"/>
            <color rgb="FF000000"/>
            <rFont val="Arial"/>
            <family val="2"/>
          </rPr>
          <t xml:space="preserve">Ebonyi - 2.5%
</t>
        </r>
        <r>
          <rPr>
            <sz val="10"/>
            <color rgb="FF000000"/>
            <rFont val="Arial"/>
            <family val="2"/>
          </rPr>
          <t xml:space="preserve">
</t>
        </r>
        <r>
          <rPr>
            <b/>
            <sz val="10"/>
            <color rgb="FF000000"/>
            <rFont val="Arial"/>
            <family val="2"/>
          </rPr>
          <t xml:space="preserve">Maize
</t>
        </r>
        <r>
          <rPr>
            <sz val="10"/>
            <color rgb="FF000000"/>
            <rFont val="Arial"/>
            <family val="2"/>
          </rPr>
          <t>Sokoto - 1.1%</t>
        </r>
        <r>
          <rPr>
            <sz val="10"/>
            <color rgb="FF000000"/>
            <rFont val="Arial"/>
            <family val="2"/>
          </rPr>
          <t xml:space="preserve"> 
</t>
        </r>
        <r>
          <rPr>
            <sz val="10"/>
            <color rgb="FF000000"/>
            <rFont val="Arial"/>
            <family val="2"/>
          </rPr>
          <t xml:space="preserve">Ebonyi - 11%
</t>
        </r>
        <r>
          <rPr>
            <sz val="10"/>
            <color rgb="FF000000"/>
            <rFont val="Arial"/>
            <family val="2"/>
          </rPr>
          <t xml:space="preserve">
</t>
        </r>
        <r>
          <rPr>
            <b/>
            <sz val="10"/>
            <color rgb="FF000000"/>
            <rFont val="Arial"/>
            <family val="2"/>
          </rPr>
          <t xml:space="preserve">Rice
</t>
        </r>
        <r>
          <rPr>
            <sz val="10"/>
            <color rgb="FF000000"/>
            <rFont val="Arial"/>
            <family val="2"/>
          </rPr>
          <t xml:space="preserve">Sokoto - 40.3%
</t>
        </r>
        <r>
          <rPr>
            <sz val="10"/>
            <color rgb="FF000000"/>
            <rFont val="Arial"/>
            <family val="2"/>
          </rPr>
          <t xml:space="preserve">Ebonyi - 86.2
</t>
        </r>
        <r>
          <rPr>
            <sz val="10"/>
            <color rgb="FF000000"/>
            <rFont val="Arial"/>
            <family val="2"/>
          </rPr>
          <t xml:space="preserve">
</t>
        </r>
        <r>
          <rPr>
            <sz val="10"/>
            <color rgb="FF000000"/>
            <rFont val="Arial"/>
            <family val="2"/>
          </rPr>
          <t>Source:</t>
        </r>
        <r>
          <rPr>
            <sz val="10"/>
            <color rgb="FF000000"/>
            <rFont val="Arial"/>
            <family val="2"/>
          </rPr>
          <t xml:space="preserve"> </t>
        </r>
        <r>
          <rPr>
            <sz val="10"/>
            <color rgb="FF000000"/>
            <rFont val="Arial"/>
            <family val="2"/>
          </rPr>
          <t>Coverage of Large-Scale Food Fortification of Edible Oil, Wheat Flour, and Maize Flour Varies Greatly by Vehicle and Country but Is Consistently Lower among the Most Vulnerable: Results from Coverage Surveys in 8 Countries</t>
        </r>
        <r>
          <rPr>
            <sz val="10"/>
            <color rgb="FF000000"/>
            <rFont val="Arial"/>
            <family val="2"/>
          </rPr>
          <t xml:space="preserve">. Aaron et al. 2017
</t>
        </r>
        <r>
          <rPr>
            <sz val="10"/>
            <color rgb="FF000000"/>
            <rFont val="Arial"/>
            <family val="2"/>
          </rPr>
          <t xml:space="preserve">
</t>
        </r>
        <r>
          <rPr>
            <sz val="10"/>
            <color rgb="FF000000"/>
            <rFont val="Arial"/>
            <family val="2"/>
          </rPr>
          <t xml:space="preserve">Maize
</t>
        </r>
        <r>
          <rPr>
            <sz val="10"/>
            <color rgb="FF000000"/>
            <rFont val="Arial"/>
            <family val="2"/>
          </rPr>
          <t>Kano</t>
        </r>
        <r>
          <rPr>
            <sz val="10"/>
            <color rgb="FF000000"/>
            <rFont val="Arial"/>
            <family val="2"/>
          </rPr>
          <t xml:space="preserve"> - </t>
        </r>
        <r>
          <rPr>
            <sz val="10"/>
            <color rgb="FF000000"/>
            <rFont val="Arial"/>
            <family val="2"/>
          </rPr>
          <t xml:space="preserve">1.7%
</t>
        </r>
        <r>
          <rPr>
            <sz val="10"/>
            <color rgb="FF000000"/>
            <rFont val="Arial"/>
            <family val="2"/>
          </rPr>
          <t>Lagos</t>
        </r>
        <r>
          <rPr>
            <sz val="10"/>
            <color rgb="FF000000"/>
            <rFont val="Arial"/>
            <family val="2"/>
          </rPr>
          <t xml:space="preserve"> - 0.2%</t>
        </r>
        <r>
          <rPr>
            <sz val="10"/>
            <color rgb="FF000000"/>
            <rFont val="Arial"/>
            <family val="2"/>
          </rPr>
          <t xml:space="preserve">
</t>
        </r>
      </text>
    </comment>
    <comment ref="D7" authorId="0" shapeId="0" xr:uid="{00000000-0006-0000-0800-00000C000000}">
      <text>
        <r>
          <rPr>
            <b/>
            <sz val="10"/>
            <color rgb="FF000000"/>
            <rFont val="Tahoma"/>
            <family val="2"/>
          </rPr>
          <t>Adesoji Ologun:</t>
        </r>
        <r>
          <rPr>
            <sz val="10"/>
            <color rgb="FF000000"/>
            <rFont val="Tahoma"/>
            <family val="2"/>
          </rPr>
          <t xml:space="preserve">
</t>
        </r>
        <r>
          <rPr>
            <b/>
            <sz val="10"/>
            <color rgb="FF000000"/>
            <rFont val="+mn-lt"/>
            <charset val="1"/>
          </rPr>
          <t>Source</t>
        </r>
        <r>
          <rPr>
            <sz val="10"/>
            <color rgb="FF000000"/>
            <rFont val="+mn-lt"/>
            <charset val="1"/>
          </rPr>
          <t xml:space="preserve"> - </t>
        </r>
        <r>
          <rPr>
            <sz val="10"/>
            <color rgb="FF000000"/>
            <rFont val="Arial"/>
            <family val="2"/>
          </rPr>
          <t xml:space="preserve">CBA model developed by GAIN used for estimation
</t>
        </r>
        <r>
          <rPr>
            <sz val="10"/>
            <color rgb="FF000000"/>
            <rFont val="+mn-lt"/>
            <charset val="1"/>
          </rPr>
          <t xml:space="preserve">
</t>
        </r>
        <r>
          <rPr>
            <b/>
            <sz val="10"/>
            <color rgb="FF000000"/>
            <rFont val="+mn-lt"/>
            <charset val="1"/>
          </rPr>
          <t xml:space="preserve">Cost Perspective </t>
        </r>
        <r>
          <rPr>
            <sz val="10"/>
            <color rgb="FF000000"/>
            <rFont val="+mn-lt"/>
            <charset val="1"/>
          </rPr>
          <t xml:space="preserve">- Programme perspective. 
</t>
        </r>
        <r>
          <rPr>
            <sz val="10"/>
            <color rgb="FF000000"/>
            <rFont val="+mn-lt"/>
            <charset val="1"/>
          </rPr>
          <t xml:space="preserve">
</t>
        </r>
        <r>
          <rPr>
            <b/>
            <sz val="10"/>
            <color rgb="FF000000"/>
            <rFont val="+mn-lt"/>
            <charset val="1"/>
          </rPr>
          <t xml:space="preserve">Cost Elements </t>
        </r>
        <r>
          <rPr>
            <sz val="10"/>
            <color rgb="FF000000"/>
            <rFont val="+mn-lt"/>
            <charset val="1"/>
          </rPr>
          <t xml:space="preserve">- </t>
        </r>
        <r>
          <rPr>
            <sz val="10"/>
            <color rgb="FF000000"/>
            <rFont val="Arial"/>
            <family val="2"/>
          </rPr>
          <t xml:space="preserve">Main cost elements are cost of Premix, cost of milling and program cost - Policy, advocacy, awareness and social marketing, training, supervisions etc. </t>
        </r>
        <r>
          <rPr>
            <sz val="10"/>
            <color rgb="FF000000"/>
            <rFont val="Arial"/>
            <family val="2"/>
          </rPr>
          <t xml:space="preserve">
</t>
        </r>
        <r>
          <rPr>
            <sz val="10"/>
            <color rgb="FF000000"/>
            <rFont val="+mn-lt"/>
            <charset val="1"/>
          </rPr>
          <t xml:space="preserve">
</t>
        </r>
        <r>
          <rPr>
            <sz val="10"/>
            <color rgb="FF000000"/>
            <rFont val="+mn-lt"/>
            <charset val="1"/>
          </rPr>
          <t xml:space="preserve">Cost per person between 0.05 to 0.07 (moderate uncertainty. may consider refining the estimate by collecting additional information)
</t>
        </r>
      </text>
    </comment>
    <comment ref="B8" authorId="0" shapeId="0" xr:uid="{00000000-0006-0000-0800-00000D000000}">
      <text>
        <r>
          <rPr>
            <b/>
            <sz val="10"/>
            <color rgb="FF000000"/>
            <rFont val="Tahoma"/>
            <family val="2"/>
          </rPr>
          <t>Adesoji Ologun:</t>
        </r>
        <r>
          <rPr>
            <sz val="10"/>
            <color rgb="FF000000"/>
            <rFont val="Tahoma"/>
            <family val="2"/>
          </rPr>
          <t xml:space="preserve">
</t>
        </r>
        <r>
          <rPr>
            <sz val="10"/>
            <color rgb="FF000000"/>
            <rFont val="Tahoma"/>
            <family val="2"/>
          </rPr>
          <t xml:space="preserve">See above. 
</t>
        </r>
        <r>
          <rPr>
            <sz val="10"/>
            <color rgb="FF000000"/>
            <rFont val="Tahoma"/>
            <family val="2"/>
          </rPr>
          <t xml:space="preserve">
</t>
        </r>
        <r>
          <rPr>
            <sz val="10"/>
            <color rgb="FF000000"/>
            <rFont val="Arial"/>
            <family val="2"/>
          </rPr>
          <t xml:space="preserve">Rice fortification not included in the National Fortification Food program. </t>
        </r>
        <r>
          <rPr>
            <u/>
            <sz val="10"/>
            <color rgb="FF000000"/>
            <rFont val="Arial"/>
            <family val="2"/>
          </rPr>
          <t>https://www.gainhealth.org/knowledge-centre/project/nigeria-large-scale-food-fortification/</t>
        </r>
        <r>
          <rPr>
            <sz val="10"/>
            <color rgb="FF000000"/>
            <rFont val="Arial"/>
            <family val="2"/>
          </rPr>
          <t xml:space="preserve"> accessed 14 June 2019, 10:55am</t>
        </r>
        <r>
          <rPr>
            <sz val="10"/>
            <color rgb="FF000000"/>
            <rFont val="Arial"/>
            <family val="2"/>
          </rPr>
          <t xml:space="preserve"> </t>
        </r>
      </text>
    </comment>
    <comment ref="D8" authorId="0" shapeId="0" xr:uid="{00000000-0006-0000-0800-00000E000000}">
      <text>
        <r>
          <rPr>
            <b/>
            <sz val="10"/>
            <color rgb="FF000000"/>
            <rFont val="Tahoma"/>
            <family val="2"/>
          </rPr>
          <t>Adesoji Ologun:</t>
        </r>
        <r>
          <rPr>
            <sz val="10"/>
            <color rgb="FF000000"/>
            <rFont val="Tahoma"/>
            <family val="2"/>
          </rPr>
          <t xml:space="preserve">
</t>
        </r>
        <r>
          <rPr>
            <sz val="10"/>
            <color rgb="FF000000"/>
            <rFont val="Tahoma"/>
            <family val="2"/>
          </rPr>
          <t xml:space="preserve">See above
</t>
        </r>
      </text>
    </comment>
    <comment ref="B9" authorId="0" shapeId="0" xr:uid="{00000000-0006-0000-0800-00000F000000}">
      <text>
        <r>
          <rPr>
            <b/>
            <sz val="10"/>
            <color rgb="FF000000"/>
            <rFont val="Tahoma"/>
            <family val="2"/>
          </rPr>
          <t>Adesoji Ologun:</t>
        </r>
        <r>
          <rPr>
            <sz val="10"/>
            <color rgb="FF000000"/>
            <rFont val="Tahoma"/>
            <family val="2"/>
          </rPr>
          <t xml:space="preserve">
</t>
        </r>
        <r>
          <rPr>
            <sz val="10"/>
            <color rgb="FF000000"/>
            <rFont val="Tahoma"/>
            <family val="2"/>
          </rPr>
          <t xml:space="preserve">See above
</t>
        </r>
      </text>
    </comment>
    <comment ref="D9" authorId="0" shapeId="0" xr:uid="{00000000-0006-0000-0800-000010000000}">
      <text>
        <r>
          <rPr>
            <b/>
            <sz val="10"/>
            <color rgb="FF000000"/>
            <rFont val="Tahoma"/>
            <family val="2"/>
          </rPr>
          <t>Adesoji Ologun:</t>
        </r>
        <r>
          <rPr>
            <sz val="10"/>
            <color rgb="FF000000"/>
            <rFont val="Tahoma"/>
            <family val="2"/>
          </rPr>
          <t xml:space="preserve">
</t>
        </r>
        <r>
          <rPr>
            <sz val="10"/>
            <color rgb="FF000000"/>
            <rFont val="Tahoma"/>
            <family val="2"/>
          </rPr>
          <t>See Above</t>
        </r>
      </text>
    </comment>
    <comment ref="B10" authorId="0" shapeId="0" xr:uid="{00000000-0006-0000-0800-000011000000}">
      <text>
        <r>
          <rPr>
            <b/>
            <sz val="10"/>
            <color rgb="FF000000"/>
            <rFont val="Tahoma"/>
            <family val="2"/>
          </rPr>
          <t xml:space="preserve">Adesoji Ologun:
</t>
        </r>
        <r>
          <rPr>
            <b/>
            <sz val="10"/>
            <color rgb="FF000000"/>
            <rFont val="Tahoma"/>
            <family val="2"/>
          </rPr>
          <t xml:space="preserve">Target Population - </t>
        </r>
        <r>
          <rPr>
            <sz val="10"/>
            <color rgb="FF000000"/>
            <rFont val="Arial"/>
            <family val="2"/>
          </rPr>
          <t>All menstruating adolescent girls and adult women/ Women of Reproductive age groupin areas where prevalence of anaemia among non-pregnant women of reproductive age group is 20% or higher</t>
        </r>
        <r>
          <rPr>
            <b/>
            <sz val="10"/>
            <color rgb="FF000000"/>
            <rFont val="Tahoma"/>
            <family val="2"/>
          </rPr>
          <t xml:space="preserve">
</t>
        </r>
        <r>
          <rPr>
            <sz val="10"/>
            <color rgb="FF000000"/>
            <rFont val="Tahoma"/>
            <family val="2"/>
          </rPr>
          <t xml:space="preserve">
</t>
        </r>
        <r>
          <rPr>
            <sz val="10"/>
            <color rgb="FF000000"/>
            <rFont val="+mn-lt"/>
            <charset val="1"/>
          </rPr>
          <t xml:space="preserve">Intermittent iron supplementation for women of reproductive age can be delivered through four modalities;
</t>
        </r>
        <r>
          <rPr>
            <sz val="10"/>
            <color rgb="FF000000"/>
            <rFont val="+mn-lt"/>
            <charset val="1"/>
          </rPr>
          <t xml:space="preserve">1. Schools (the only modality for 15-19 year olds who attend schools) 
</t>
        </r>
        <r>
          <rPr>
            <sz val="10"/>
            <color rgb="FF000000"/>
            <rFont val="+mn-lt"/>
            <charset val="1"/>
          </rPr>
          <t xml:space="preserve">2. Health facilities (available for those not at school and attending health facilities) 
</t>
        </r>
        <r>
          <rPr>
            <sz val="10"/>
            <color rgb="FF000000"/>
            <rFont val="+mn-lt"/>
            <charset val="1"/>
          </rPr>
          <t xml:space="preserve">3. Community (available for everybody) 
</t>
        </r>
        <r>
          <rPr>
            <sz val="10"/>
            <color rgb="FF000000"/>
            <rFont val="+mn-lt"/>
            <charset val="1"/>
          </rPr>
          <t xml:space="preserve">4. Retail (only available for the fraction of women of reproductive age above the poverty line) 
</t>
        </r>
        <r>
          <rPr>
            <sz val="10"/>
            <color rgb="FF000000"/>
            <rFont val="+mn-lt"/>
            <charset val="1"/>
          </rPr>
          <t xml:space="preserve">Note that this intervention is different from iron supplementation in pregnancy. The fraction of the population who are likely to access each modality are entered by the user (see databook section). 
</t>
        </r>
        <r>
          <rPr>
            <sz val="10"/>
            <color rgb="FF000000"/>
            <rFont val="+mn-lt"/>
            <charset val="1"/>
          </rPr>
          <t xml:space="preserve">
</t>
        </r>
        <r>
          <rPr>
            <sz val="10"/>
            <color rgb="FF000000"/>
            <rFont val="+mn-lt"/>
            <charset val="1"/>
          </rPr>
          <t xml:space="preserve">This intervention does not currently exisit in all the sources checked. No coverage data available 
</t>
        </r>
      </text>
    </comment>
    <comment ref="D10" authorId="0" shapeId="0" xr:uid="{00000000-0006-0000-0800-000012000000}">
      <text>
        <r>
          <rPr>
            <b/>
            <sz val="10"/>
            <color rgb="FF000000"/>
            <rFont val="Tahoma"/>
            <family val="2"/>
          </rPr>
          <t xml:space="preserve">Adesoji Ologun:
</t>
        </r>
        <r>
          <rPr>
            <b/>
            <sz val="10"/>
            <color rgb="FF000000"/>
            <rFont val="Tahoma"/>
            <family val="2"/>
          </rPr>
          <t xml:space="preserve">
</t>
        </r>
        <r>
          <rPr>
            <sz val="10"/>
            <color rgb="FF000000"/>
            <rFont val="Tahoma"/>
            <family val="2"/>
          </rPr>
          <t xml:space="preserve">WHO Guideline - 
</t>
        </r>
        <r>
          <rPr>
            <sz val="10"/>
            <color rgb="FF000000"/>
            <rFont val="Tahoma"/>
            <family val="2"/>
          </rPr>
          <t xml:space="preserve">
</t>
        </r>
        <r>
          <rPr>
            <sz val="10"/>
            <color rgb="FF000000"/>
            <rFont val="Tahoma"/>
            <family val="2"/>
          </rPr>
          <t xml:space="preserve">1. Supplement - </t>
        </r>
        <r>
          <rPr>
            <sz val="10"/>
            <color rgb="FF000000"/>
            <rFont val="Arial"/>
            <family val="2"/>
          </rPr>
          <t>Iron: 60 mg of elemental iron</t>
        </r>
        <r>
          <rPr>
            <vertAlign val="superscript"/>
            <sz val="10"/>
            <color rgb="FF000000"/>
            <rFont val="Arial"/>
            <family val="2"/>
          </rPr>
          <t>a</t>
        </r>
        <r>
          <rPr>
            <sz val="10"/>
            <color rgb="FF000000"/>
            <rFont val="Arial"/>
            <family val="2"/>
          </rPr>
          <t xml:space="preserve">, Folic acid: 2800 μg (2.8 mg) 
</t>
        </r>
        <r>
          <rPr>
            <sz val="10"/>
            <color rgb="FF000000"/>
            <rFont val="Tahoma"/>
            <family val="2"/>
          </rPr>
          <t xml:space="preserve">
</t>
        </r>
        <r>
          <rPr>
            <sz val="10"/>
            <color rgb="FF000000"/>
            <rFont val="Tahoma"/>
            <family val="2"/>
          </rPr>
          <t xml:space="preserve">2. Frequency - </t>
        </r>
        <r>
          <rPr>
            <sz val="10"/>
            <color rgb="FF000000"/>
            <rFont val="Arial"/>
            <family val="2"/>
          </rPr>
          <t xml:space="preserve">One supplement per week
</t>
        </r>
        <r>
          <rPr>
            <sz val="10"/>
            <color rgb="FF000000"/>
            <rFont val="Arial"/>
            <family val="2"/>
          </rPr>
          <t xml:space="preserve">
</t>
        </r>
        <r>
          <rPr>
            <sz val="10"/>
            <color rgb="FF000000"/>
            <rFont val="Arial"/>
            <family val="2"/>
          </rPr>
          <t xml:space="preserve">3. Duration and time interval between periods of Supplementation - 3 months of supplementation followed by 3 months of no supplementation after which the provision of supplements should restart.
</t>
        </r>
        <r>
          <rPr>
            <sz val="10"/>
            <color rgb="FF000000"/>
            <rFont val="Arial"/>
            <family val="2"/>
          </rPr>
          <t xml:space="preserve">
</t>
        </r>
        <r>
          <rPr>
            <sz val="10"/>
            <color rgb="FF000000"/>
            <rFont val="Arial"/>
            <family val="2"/>
          </rPr>
          <t xml:space="preserve">4. Setting - Populations where the prevalence of anaemia among non-pregnant women of reproductive age is 20% or higher  (Nigeria prevalence - 49.8% - 2016)  
</t>
        </r>
        <r>
          <rPr>
            <sz val="10"/>
            <color rgb="FF000000"/>
            <rFont val="Tahoma"/>
            <family val="2"/>
          </rPr>
          <t xml:space="preserve">
</t>
        </r>
        <r>
          <rPr>
            <b/>
            <sz val="10"/>
            <color rgb="FF000000"/>
            <rFont val="Arial"/>
            <family val="2"/>
          </rPr>
          <t xml:space="preserve">Cost Assumption </t>
        </r>
        <r>
          <rPr>
            <sz val="10"/>
            <color rgb="FF000000"/>
            <rFont val="Arial"/>
            <family val="2"/>
          </rPr>
          <t xml:space="preserve">- $0.08 per dose (OHT costing) taken once a week taken for 26 weeks in a year, marked up by 10% for programme delivery cost
</t>
        </r>
      </text>
    </comment>
    <comment ref="B11" authorId="0" shapeId="0" xr:uid="{00000000-0006-0000-0800-000013000000}">
      <text>
        <r>
          <rPr>
            <b/>
            <sz val="10"/>
            <color rgb="FF000000"/>
            <rFont val="Tahoma"/>
            <family val="2"/>
          </rPr>
          <t>Adesoji Ologun:</t>
        </r>
        <r>
          <rPr>
            <sz val="10"/>
            <color rgb="FF000000"/>
            <rFont val="+mn-lt"/>
            <charset val="1"/>
          </rPr>
          <t xml:space="preserve">
</t>
        </r>
        <r>
          <rPr>
            <b/>
            <sz val="10"/>
            <color rgb="FF000000"/>
            <rFont val="+mn-lt"/>
            <charset val="1"/>
          </rPr>
          <t xml:space="preserve">Target Population - </t>
        </r>
        <r>
          <rPr>
            <sz val="10"/>
            <color rgb="FF000000"/>
            <rFont val="+mn-lt"/>
            <charset val="1"/>
          </rPr>
          <t xml:space="preserve">All menstruating adolescent girls and adult women/ Women of Reproductive age groupin areas where prevalence of anaemia among non-pregnant women of reproductive age group is 20% or higher
</t>
        </r>
        <r>
          <rPr>
            <sz val="10"/>
            <color rgb="FF000000"/>
            <rFont val="+mn-lt"/>
            <charset val="1"/>
          </rPr>
          <t xml:space="preserve">Intermittent iron supplementation for women of reproductive age can be delivered through four modalities;
</t>
        </r>
        <r>
          <rPr>
            <sz val="10"/>
            <color rgb="FF000000"/>
            <rFont val="+mn-lt"/>
            <charset val="1"/>
          </rPr>
          <t xml:space="preserve">1. Schools (the only modality for 15-19 year olds who attend schools) 
</t>
        </r>
        <r>
          <rPr>
            <sz val="10"/>
            <color rgb="FF000000"/>
            <rFont val="+mn-lt"/>
            <charset val="1"/>
          </rPr>
          <t xml:space="preserve">2. Health facilities (available for those not at school and attending health facilities) 
</t>
        </r>
        <r>
          <rPr>
            <sz val="10"/>
            <color rgb="FF000000"/>
            <rFont val="+mn-lt"/>
            <charset val="1"/>
          </rPr>
          <t xml:space="preserve">3. Community (available for everybody) 
</t>
        </r>
        <r>
          <rPr>
            <sz val="10"/>
            <color rgb="FF000000"/>
            <rFont val="+mn-lt"/>
            <charset val="1"/>
          </rPr>
          <t xml:space="preserve">4. Retail (only available for the fraction of women of reproductive age above the poverty line) 
</t>
        </r>
        <r>
          <rPr>
            <sz val="10"/>
            <color rgb="FF000000"/>
            <rFont val="+mn-lt"/>
            <charset val="1"/>
          </rPr>
          <t xml:space="preserve">Note that this intervention is different from iron supplementation in pregnancy. The fraction of the population who are likely to access each modality are entered by the user (see databook section). 
</t>
        </r>
        <r>
          <rPr>
            <sz val="10"/>
            <color rgb="FF000000"/>
            <rFont val="+mn-lt"/>
            <charset val="1"/>
          </rPr>
          <t xml:space="preserve">This intervention does not currently exisit in all the sources checked. No coverage data available 
</t>
        </r>
      </text>
    </comment>
    <comment ref="D11" authorId="0" shapeId="0" xr:uid="{00000000-0006-0000-0800-000014000000}">
      <text>
        <r>
          <rPr>
            <b/>
            <sz val="10"/>
            <color rgb="FF000000"/>
            <rFont val="Tahoma"/>
            <family val="2"/>
          </rPr>
          <t>Adesoji Ologun:</t>
        </r>
        <r>
          <rPr>
            <sz val="10"/>
            <color rgb="FF000000"/>
            <rFont val="Tahoma"/>
            <family val="2"/>
          </rPr>
          <t xml:space="preserve">
</t>
        </r>
        <r>
          <rPr>
            <sz val="10"/>
            <color rgb="FF000000"/>
            <rFont val="+mn-lt"/>
            <charset val="1"/>
          </rPr>
          <t xml:space="preserve">WHO Guideline - 
</t>
        </r>
        <r>
          <rPr>
            <sz val="10"/>
            <color rgb="FF000000"/>
            <rFont val="+mn-lt"/>
            <charset val="1"/>
          </rPr>
          <t>1. Supplement - Iron: 60 mg of elemental iron</t>
        </r>
        <r>
          <rPr>
            <vertAlign val="superscript"/>
            <sz val="10"/>
            <color rgb="FF000000"/>
            <rFont val="+mn-lt"/>
            <charset val="1"/>
          </rPr>
          <t>a</t>
        </r>
        <r>
          <rPr>
            <sz val="10"/>
            <color rgb="FF000000"/>
            <rFont val="+mn-lt"/>
            <charset val="1"/>
          </rPr>
          <t xml:space="preserve">, Folic acid: 2800 μg (2.8 mg) 
</t>
        </r>
        <r>
          <rPr>
            <sz val="10"/>
            <color rgb="FF000000"/>
            <rFont val="+mn-lt"/>
            <charset val="1"/>
          </rPr>
          <t xml:space="preserve">2. Frequency - One supplement per week
</t>
        </r>
        <r>
          <rPr>
            <sz val="10"/>
            <color rgb="FF000000"/>
            <rFont val="+mn-lt"/>
            <charset val="1"/>
          </rPr>
          <t xml:space="preserve">3. Duration and time interval between periods of Supplementation - 3 months of supplementation followed by 3 months of no supplementation after which the provision of supplements should restart.
</t>
        </r>
        <r>
          <rPr>
            <sz val="10"/>
            <color rgb="FF000000"/>
            <rFont val="+mn-lt"/>
            <charset val="1"/>
          </rPr>
          <t xml:space="preserve">4. Setting - Populations where the prevalence of anaemia among non-pregnant women of reproductive age is 20% or higher  (Nigeria prevalence - 49.8% - 2016)  
</t>
        </r>
        <r>
          <rPr>
            <sz val="10"/>
            <color rgb="FF000000"/>
            <rFont val="+mn-lt"/>
            <charset val="1"/>
          </rPr>
          <t xml:space="preserve">
</t>
        </r>
        <r>
          <rPr>
            <sz val="10"/>
            <color rgb="FF000000"/>
            <rFont val="+mn-lt"/>
            <charset val="1"/>
          </rPr>
          <t xml:space="preserve">
</t>
        </r>
        <r>
          <rPr>
            <b/>
            <sz val="10"/>
            <color rgb="FF000000"/>
            <rFont val="+mn-lt"/>
            <charset val="1"/>
          </rPr>
          <t xml:space="preserve">Cost Assumption </t>
        </r>
        <r>
          <rPr>
            <sz val="10"/>
            <color rgb="FF000000"/>
            <rFont val="+mn-lt"/>
            <charset val="1"/>
          </rPr>
          <t xml:space="preserve">- $0.08 per dose (OHT costing) taken once a week taken for 26 weeks in a year, marked up by 10% for Health facility overhead and personel cost
</t>
        </r>
      </text>
    </comment>
    <comment ref="B12" authorId="0" shapeId="0" xr:uid="{00000000-0006-0000-0800-000015000000}">
      <text>
        <r>
          <rPr>
            <b/>
            <sz val="10"/>
            <color rgb="FF000000"/>
            <rFont val="Tahoma"/>
            <family val="2"/>
          </rPr>
          <t>Adesoji Ologun:</t>
        </r>
        <r>
          <rPr>
            <sz val="10"/>
            <color rgb="FF000000"/>
            <rFont val="Tahoma"/>
            <family val="2"/>
          </rPr>
          <t xml:space="preserve">
</t>
        </r>
        <r>
          <rPr>
            <b/>
            <sz val="10"/>
            <color rgb="FF000000"/>
            <rFont val="+mn-lt"/>
            <charset val="1"/>
          </rPr>
          <t xml:space="preserve">Target Population - </t>
        </r>
        <r>
          <rPr>
            <sz val="10"/>
            <color rgb="FF000000"/>
            <rFont val="+mn-lt"/>
            <charset val="1"/>
          </rPr>
          <t xml:space="preserve">All menstruating adolescent girls and adult women/ Women of Reproductive age groupin areas where prevalence of anaemia among non-pregnant women of reproductive age group is 20% or higher
</t>
        </r>
        <r>
          <rPr>
            <sz val="10"/>
            <color rgb="FF000000"/>
            <rFont val="+mn-lt"/>
            <charset val="1"/>
          </rPr>
          <t xml:space="preserve">Intermittent iron supplementation for women of reproductive age can be delivered through four modalities;
</t>
        </r>
        <r>
          <rPr>
            <sz val="10"/>
            <color rgb="FF000000"/>
            <rFont val="+mn-lt"/>
            <charset val="1"/>
          </rPr>
          <t xml:space="preserve">1. Schools (the only modality for 15-19 year olds who attend schools) 
</t>
        </r>
        <r>
          <rPr>
            <sz val="10"/>
            <color rgb="FF000000"/>
            <rFont val="+mn-lt"/>
            <charset val="1"/>
          </rPr>
          <t xml:space="preserve">2. Health facilities (available for those not at school and attending health facilities) 
</t>
        </r>
        <r>
          <rPr>
            <sz val="10"/>
            <color rgb="FF000000"/>
            <rFont val="+mn-lt"/>
            <charset val="1"/>
          </rPr>
          <t xml:space="preserve">3. Community (available for everybody) 
</t>
        </r>
        <r>
          <rPr>
            <sz val="10"/>
            <color rgb="FF000000"/>
            <rFont val="+mn-lt"/>
            <charset val="1"/>
          </rPr>
          <t xml:space="preserve">4. Retail (only available for the fraction of women of reproductive age above the poverty line) 
</t>
        </r>
        <r>
          <rPr>
            <sz val="10"/>
            <color rgb="FF000000"/>
            <rFont val="+mn-lt"/>
            <charset val="1"/>
          </rPr>
          <t xml:space="preserve">Note that this intervention is different from iron supplementation in pregnancy. The fraction of the population who are likely to access each modality are entered by the user (see databook section). 
</t>
        </r>
        <r>
          <rPr>
            <sz val="10"/>
            <color rgb="FF000000"/>
            <rFont val="+mn-lt"/>
            <charset val="1"/>
          </rPr>
          <t xml:space="preserve">This intervention does not currently exisit in all the sources checked. No coverage data available 
</t>
        </r>
      </text>
    </comment>
    <comment ref="D12" authorId="0" shapeId="0" xr:uid="{00000000-0006-0000-0800-000016000000}">
      <text>
        <r>
          <rPr>
            <b/>
            <sz val="10"/>
            <color rgb="FF000000"/>
            <rFont val="Tahoma"/>
            <family val="2"/>
          </rPr>
          <t>Adesoji Ologun:</t>
        </r>
        <r>
          <rPr>
            <sz val="10"/>
            <color rgb="FF000000"/>
            <rFont val="Tahoma"/>
            <family val="2"/>
          </rPr>
          <t xml:space="preserve">
</t>
        </r>
        <r>
          <rPr>
            <sz val="10"/>
            <color rgb="FF000000"/>
            <rFont val="+mn-lt"/>
            <charset val="1"/>
          </rPr>
          <t xml:space="preserve">WHO Guideline - 
</t>
        </r>
        <r>
          <rPr>
            <sz val="10"/>
            <color rgb="FF000000"/>
            <rFont val="+mn-lt"/>
            <charset val="1"/>
          </rPr>
          <t>1. Supplement - Iron: 60 mg of elemental iron</t>
        </r>
        <r>
          <rPr>
            <vertAlign val="superscript"/>
            <sz val="10"/>
            <color rgb="FF000000"/>
            <rFont val="+mn-lt"/>
            <charset val="1"/>
          </rPr>
          <t>a</t>
        </r>
        <r>
          <rPr>
            <sz val="10"/>
            <color rgb="FF000000"/>
            <rFont val="+mn-lt"/>
            <charset val="1"/>
          </rPr>
          <t xml:space="preserve">, Folic acid: 2800 μg (2.8 mg) 
</t>
        </r>
        <r>
          <rPr>
            <sz val="10"/>
            <color rgb="FF000000"/>
            <rFont val="+mn-lt"/>
            <charset val="1"/>
          </rPr>
          <t xml:space="preserve">2. Frequency - One supplement per week
</t>
        </r>
        <r>
          <rPr>
            <sz val="10"/>
            <color rgb="FF000000"/>
            <rFont val="+mn-lt"/>
            <charset val="1"/>
          </rPr>
          <t xml:space="preserve">3. Duration and time interval between periods of Supplementation - 3 months of supplementation followed by 3 months of no supplementation after which the provision of supplements should restart.
</t>
        </r>
        <r>
          <rPr>
            <sz val="10"/>
            <color rgb="FF000000"/>
            <rFont val="+mn-lt"/>
            <charset val="1"/>
          </rPr>
          <t xml:space="preserve">4. Setting - Populations where the prevalence of anaemia among non-pregnant women of reproductive age is 20% or higher  (Nigeria prevalence - 49.8% - 2016)  
</t>
        </r>
        <r>
          <rPr>
            <sz val="10"/>
            <color rgb="FF000000"/>
            <rFont val="+mn-lt"/>
            <charset val="1"/>
          </rPr>
          <t xml:space="preserve">
</t>
        </r>
        <r>
          <rPr>
            <sz val="10"/>
            <color rgb="FF000000"/>
            <rFont val="+mn-lt"/>
            <charset val="1"/>
          </rPr>
          <t xml:space="preserve">
</t>
        </r>
        <r>
          <rPr>
            <b/>
            <sz val="10"/>
            <color rgb="FF000000"/>
            <rFont val="+mn-lt"/>
            <charset val="1"/>
          </rPr>
          <t xml:space="preserve">Cost Assumption </t>
        </r>
        <r>
          <rPr>
            <sz val="10"/>
            <color rgb="FF000000"/>
            <rFont val="+mn-lt"/>
            <charset val="1"/>
          </rPr>
          <t xml:space="preserve">- $0.08 per dose (OHT costing) taken once a week taken for 26 weeks in a year, marked up by 30% for retailer
</t>
        </r>
      </text>
    </comment>
    <comment ref="B13" authorId="0" shapeId="0" xr:uid="{00000000-0006-0000-0800-000017000000}">
      <text>
        <r>
          <rPr>
            <b/>
            <sz val="10"/>
            <color rgb="FF000000"/>
            <rFont val="Tahoma"/>
            <family val="2"/>
          </rPr>
          <t>Adesoji Ologun:</t>
        </r>
        <r>
          <rPr>
            <sz val="10"/>
            <color rgb="FF000000"/>
            <rFont val="Tahoma"/>
            <family val="2"/>
          </rPr>
          <t xml:space="preserve">
</t>
        </r>
        <r>
          <rPr>
            <b/>
            <sz val="10"/>
            <color rgb="FF000000"/>
            <rFont val="+mn-lt"/>
            <charset val="1"/>
          </rPr>
          <t xml:space="preserve">Target Population - </t>
        </r>
        <r>
          <rPr>
            <sz val="10"/>
            <color rgb="FF000000"/>
            <rFont val="+mn-lt"/>
            <charset val="1"/>
          </rPr>
          <t xml:space="preserve">All menstruating adolescent girls and adult women/ Women of Reproductive age groupin areas where prevalence of anaemia among non-pregnant women of reproductive age group is 20% or higher
</t>
        </r>
        <r>
          <rPr>
            <sz val="10"/>
            <color rgb="FF000000"/>
            <rFont val="+mn-lt"/>
            <charset val="1"/>
          </rPr>
          <t xml:space="preserve">Intermittent iron supplementation for women of reproductive age can be delivered through four modalities;
</t>
        </r>
        <r>
          <rPr>
            <sz val="10"/>
            <color rgb="FF000000"/>
            <rFont val="+mn-lt"/>
            <charset val="1"/>
          </rPr>
          <t xml:space="preserve">1. Schools (the only modality for 15-19 year olds who attend schools) 
</t>
        </r>
        <r>
          <rPr>
            <sz val="10"/>
            <color rgb="FF000000"/>
            <rFont val="+mn-lt"/>
            <charset val="1"/>
          </rPr>
          <t xml:space="preserve">2. Health facilities (available for those not at school and attending health facilities) 
</t>
        </r>
        <r>
          <rPr>
            <sz val="10"/>
            <color rgb="FF000000"/>
            <rFont val="+mn-lt"/>
            <charset val="1"/>
          </rPr>
          <t xml:space="preserve">3. Community (available for everybody) 
</t>
        </r>
        <r>
          <rPr>
            <sz val="10"/>
            <color rgb="FF000000"/>
            <rFont val="+mn-lt"/>
            <charset val="1"/>
          </rPr>
          <t xml:space="preserve">4. Retail (only available for the fraction of women of reproductive age above the poverty line) 
</t>
        </r>
        <r>
          <rPr>
            <sz val="10"/>
            <color rgb="FF000000"/>
            <rFont val="+mn-lt"/>
            <charset val="1"/>
          </rPr>
          <t xml:space="preserve">Note that this intervention is different from iron supplementation in pregnancy. The fraction of the population who are likely to access each modality are entered by the user (see databook section). 
</t>
        </r>
        <r>
          <rPr>
            <sz val="10"/>
            <color rgb="FF000000"/>
            <rFont val="+mn-lt"/>
            <charset val="1"/>
          </rPr>
          <t xml:space="preserve">This intervention does not currently exisit in all the sources checked. No coverage data available 
</t>
        </r>
      </text>
    </comment>
    <comment ref="D13" authorId="0" shapeId="0" xr:uid="{00000000-0006-0000-0800-000018000000}">
      <text>
        <r>
          <rPr>
            <b/>
            <sz val="10"/>
            <color rgb="FF000000"/>
            <rFont val="Tahoma"/>
            <family val="2"/>
          </rPr>
          <t>Adesoji Ologun:</t>
        </r>
        <r>
          <rPr>
            <sz val="10"/>
            <color rgb="FF000000"/>
            <rFont val="Tahoma"/>
            <family val="2"/>
          </rPr>
          <t xml:space="preserve">
</t>
        </r>
        <r>
          <rPr>
            <sz val="10"/>
            <color rgb="FF000000"/>
            <rFont val="Arial"/>
            <family val="2"/>
          </rPr>
          <t xml:space="preserve">WHO Guideline - </t>
        </r>
        <r>
          <rPr>
            <sz val="10"/>
            <color rgb="FF000000"/>
            <rFont val="Arial"/>
            <family val="2"/>
          </rPr>
          <t xml:space="preserve">
</t>
        </r>
        <r>
          <rPr>
            <sz val="10"/>
            <color rgb="FF000000"/>
            <rFont val="Arial"/>
            <family val="2"/>
          </rPr>
          <t>1. Supplement - Iron: 60 mg of elemental iron</t>
        </r>
        <r>
          <rPr>
            <vertAlign val="superscript"/>
            <sz val="10"/>
            <color rgb="FF000000"/>
            <rFont val="Arial"/>
            <family val="2"/>
          </rPr>
          <t>a</t>
        </r>
        <r>
          <rPr>
            <sz val="10"/>
            <color rgb="FF000000"/>
            <rFont val="Arial"/>
            <family val="2"/>
          </rPr>
          <t xml:space="preserve">, Folic acid: 2800 μg (2.8 mg) </t>
        </r>
        <r>
          <rPr>
            <sz val="10"/>
            <color rgb="FF000000"/>
            <rFont val="Arial"/>
            <family val="2"/>
          </rPr>
          <t xml:space="preserve">
</t>
        </r>
        <r>
          <rPr>
            <sz val="10"/>
            <color rgb="FF000000"/>
            <rFont val="Arial"/>
            <family val="2"/>
          </rPr>
          <t>2. Frequency - One supplement per week</t>
        </r>
        <r>
          <rPr>
            <sz val="10"/>
            <color rgb="FF000000"/>
            <rFont val="Arial"/>
            <family val="2"/>
          </rPr>
          <t xml:space="preserve">
</t>
        </r>
        <r>
          <rPr>
            <sz val="10"/>
            <color rgb="FF000000"/>
            <rFont val="Arial"/>
            <family val="2"/>
          </rPr>
          <t>3. Duration and time interval between periods of Supplementation - 3 months of supplementation followed by 3 months of no supplementation after which the provision of supplements should restart.</t>
        </r>
        <r>
          <rPr>
            <sz val="10"/>
            <color rgb="FF000000"/>
            <rFont val="Arial"/>
            <family val="2"/>
          </rPr>
          <t xml:space="preserve">
</t>
        </r>
        <r>
          <rPr>
            <sz val="10"/>
            <color rgb="FF000000"/>
            <rFont val="Arial"/>
            <family val="2"/>
          </rPr>
          <t xml:space="preserve">4. Setting - Populations where the prevalence of anaemia among non-pregnant women of reproductive age is 20% or higher  (Nigeria prevalence - 49.8% - 2016)  </t>
        </r>
        <r>
          <rPr>
            <sz val="10"/>
            <color rgb="FF000000"/>
            <rFont val="Arial"/>
            <family val="2"/>
          </rPr>
          <t xml:space="preserve">
</t>
        </r>
        <r>
          <rPr>
            <b/>
            <sz val="10"/>
            <color rgb="FF000000"/>
            <rFont val="Arial"/>
            <family val="2"/>
          </rPr>
          <t xml:space="preserve">Cost Assumption </t>
        </r>
        <r>
          <rPr>
            <sz val="10"/>
            <color rgb="FF000000"/>
            <rFont val="Arial"/>
            <family val="2"/>
          </rPr>
          <t>- $0.08 per dose (OHT costing) taken once a week taken for 26 weeks in a year, marked up by 10% for Health facility overhead and personel cost</t>
        </r>
        <r>
          <rPr>
            <sz val="10"/>
            <color rgb="FF000000"/>
            <rFont val="Arial"/>
            <family val="2"/>
          </rPr>
          <t xml:space="preserve">
</t>
        </r>
      </text>
    </comment>
    <comment ref="B14" authorId="0" shapeId="0" xr:uid="{00000000-0006-0000-0800-000019000000}">
      <text>
        <r>
          <rPr>
            <b/>
            <sz val="10"/>
            <color rgb="FF000000"/>
            <rFont val="Tahoma"/>
            <family val="2"/>
          </rPr>
          <t>Adesoji Ologun:</t>
        </r>
        <r>
          <rPr>
            <sz val="10"/>
            <color rgb="FF000000"/>
            <rFont val="Tahoma"/>
            <family val="2"/>
          </rPr>
          <t xml:space="preserve">
</t>
        </r>
        <r>
          <rPr>
            <b/>
            <sz val="10"/>
            <color rgb="FF000000"/>
            <rFont val="Arial"/>
            <family val="2"/>
          </rPr>
          <t xml:space="preserve">Target population </t>
        </r>
        <r>
          <rPr>
            <sz val="10"/>
            <color rgb="FF000000"/>
            <rFont val="Arial"/>
            <family val="2"/>
          </rPr>
          <t xml:space="preserve">- Pregnant women. 
</t>
        </r>
        <r>
          <rPr>
            <sz val="10"/>
            <color rgb="FF000000"/>
            <rFont val="Tahoma"/>
            <family val="2"/>
          </rPr>
          <t xml:space="preserve">
</t>
        </r>
        <r>
          <rPr>
            <sz val="10"/>
            <color rgb="FF000000"/>
            <rFont val="Tahoma"/>
            <family val="2"/>
          </rPr>
          <t xml:space="preserve">Intervention is on Adhoc basis during MNCH weeks. No widespread implementation at the moment. Coverage cannot be ascertained
</t>
        </r>
        <r>
          <rPr>
            <sz val="10"/>
            <color rgb="FF000000"/>
            <rFont val="Tahoma"/>
            <family val="2"/>
          </rPr>
          <t xml:space="preserve">
</t>
        </r>
        <r>
          <rPr>
            <sz val="10"/>
            <color rgb="FF000000"/>
            <rFont val="Arial"/>
            <family val="2"/>
          </rPr>
          <t xml:space="preserve">Source - https://www.healthynewbornnetwork.org/hnn-content/uploads/MCSP-Nutr-Brief-CBD-of-IFA.pdf
</t>
        </r>
      </text>
    </comment>
    <comment ref="D14" authorId="0" shapeId="0" xr:uid="{00000000-0006-0000-0800-00001A000000}">
      <text>
        <r>
          <rPr>
            <b/>
            <sz val="10"/>
            <color rgb="FF000000"/>
            <rFont val="Tahoma"/>
            <family val="2"/>
          </rPr>
          <t>Adesoji Ologun:</t>
        </r>
        <r>
          <rPr>
            <sz val="10"/>
            <color rgb="FF000000"/>
            <rFont val="Tahoma"/>
            <family val="2"/>
          </rPr>
          <t xml:space="preserve">
</t>
        </r>
        <r>
          <rPr>
            <sz val="10"/>
            <color rgb="FF000000"/>
            <rFont val="Tahoma"/>
            <family val="2"/>
          </rPr>
          <t>Cost from UNICEF programme. 1.07 per PW per month X 5months</t>
        </r>
      </text>
    </comment>
    <comment ref="B15" authorId="0" shapeId="0" xr:uid="{00000000-0006-0000-0800-00001B000000}">
      <text>
        <r>
          <rPr>
            <b/>
            <sz val="10"/>
            <color rgb="FF000000"/>
            <rFont val="Tahoma"/>
            <family val="2"/>
          </rPr>
          <t>Adesoji Ologun:</t>
        </r>
        <r>
          <rPr>
            <sz val="10"/>
            <color rgb="FF000000"/>
            <rFont val="Tahoma"/>
            <family val="2"/>
          </rPr>
          <t xml:space="preserve">
</t>
        </r>
        <r>
          <rPr>
            <b/>
            <sz val="10"/>
            <color rgb="FF000000"/>
            <rFont val="Tahoma"/>
            <family val="2"/>
          </rPr>
          <t xml:space="preserve">Target Population: </t>
        </r>
        <r>
          <rPr>
            <sz val="10"/>
            <color rgb="FF000000"/>
            <rFont val="Tahoma"/>
            <family val="2"/>
          </rPr>
          <t xml:space="preserve">Pregnant women
</t>
        </r>
        <r>
          <rPr>
            <sz val="10"/>
            <color rgb="FF000000"/>
            <rFont val="Tahoma"/>
            <family val="2"/>
          </rPr>
          <t xml:space="preserve">
</t>
        </r>
        <r>
          <rPr>
            <sz val="10"/>
            <color rgb="FF000000"/>
            <rFont val="Tahoma"/>
            <family val="2"/>
          </rPr>
          <t xml:space="preserve">Percentage of Women who took IFA during their last pregnancy (Irrespective of number of days) - 64.1%
</t>
        </r>
        <r>
          <rPr>
            <sz val="10"/>
            <color rgb="FF000000"/>
            <rFont val="Tahoma"/>
            <family val="2"/>
          </rPr>
          <t xml:space="preserve">
</t>
        </r>
        <r>
          <rPr>
            <sz val="10"/>
            <color rgb="FF000000"/>
            <rFont val="Tahoma"/>
            <family val="2"/>
          </rPr>
          <t xml:space="preserve">Percentage who took IFA for more than 90 days - 20.5%
</t>
        </r>
        <r>
          <rPr>
            <sz val="10"/>
            <color rgb="FF000000"/>
            <rFont val="Tahoma"/>
            <family val="2"/>
          </rPr>
          <t xml:space="preserve">
</t>
        </r>
        <r>
          <rPr>
            <b/>
            <sz val="10"/>
            <color rgb="FF000000"/>
            <rFont val="Tahoma"/>
            <family val="2"/>
          </rPr>
          <t>Source</t>
        </r>
        <r>
          <rPr>
            <sz val="10"/>
            <color rgb="FF000000"/>
            <rFont val="Tahoma"/>
            <family val="2"/>
          </rPr>
          <t>: NDHS 2013.</t>
        </r>
      </text>
    </comment>
    <comment ref="D15" authorId="0" shapeId="0" xr:uid="{00000000-0006-0000-0800-00001C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Basic Health Care Provision Fund Costing by WorldBank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Originally from Health facility perspective, but marked up by 10% to reflect programme cost.
</t>
        </r>
        <r>
          <rPr>
            <sz val="10"/>
            <color rgb="FF000000"/>
            <rFont val="Arial"/>
            <family val="2"/>
          </rPr>
          <t xml:space="preserve">
</t>
        </r>
        <r>
          <rPr>
            <b/>
            <sz val="10"/>
            <color rgb="FF000000"/>
            <rFont val="Arial"/>
            <family val="2"/>
          </rPr>
          <t xml:space="preserve">Cost Elements </t>
        </r>
        <r>
          <rPr>
            <sz val="10"/>
            <color rgb="FF000000"/>
            <rFont val="Arial"/>
            <family val="2"/>
          </rPr>
          <t xml:space="preserve">- Drugs and consumables, personel/staff cost, hospital overhead and 10% mark-up for programme cost. </t>
        </r>
        <r>
          <rPr>
            <sz val="10"/>
            <color rgb="FF000000"/>
            <rFont val="Tahoma"/>
            <family val="2"/>
          </rPr>
          <t xml:space="preserve">
</t>
        </r>
        <r>
          <rPr>
            <sz val="10"/>
            <color rgb="FF000000"/>
            <rFont val="Tahoma"/>
            <family val="2"/>
          </rPr>
          <t xml:space="preserve">
</t>
        </r>
        <r>
          <rPr>
            <sz val="10"/>
            <color rgb="FF000000"/>
            <rFont val="Tahoma"/>
            <family val="2"/>
          </rPr>
          <t xml:space="preserve">$0.41 per pregnant woman per visit, $2.5 per pregnancy from Health facility perspective, assuming 4-6 visits, $2.75 from program perspective </t>
        </r>
      </text>
    </comment>
    <comment ref="B16" authorId="0" shapeId="0" xr:uid="{00000000-0006-0000-0800-00001D000000}">
      <text>
        <r>
          <rPr>
            <b/>
            <sz val="10"/>
            <color rgb="FF000000"/>
            <rFont val="Tahoma"/>
            <family val="2"/>
          </rPr>
          <t>Adesoji Ologun:</t>
        </r>
        <r>
          <rPr>
            <sz val="10"/>
            <color rgb="FF000000"/>
            <rFont val="Tahoma"/>
            <family val="2"/>
          </rPr>
          <t xml:space="preserve">
</t>
        </r>
        <r>
          <rPr>
            <sz val="10"/>
            <color rgb="FF000000"/>
            <rFont val="Tahoma"/>
            <family val="2"/>
          </rPr>
          <t xml:space="preserve">NDHS 2018. Received one or more doses. 
</t>
        </r>
        <r>
          <rPr>
            <sz val="10"/>
            <color rgb="FF000000"/>
            <rFont val="Tahoma"/>
            <family val="2"/>
          </rPr>
          <t xml:space="preserve">
</t>
        </r>
        <r>
          <rPr>
            <sz val="10"/>
            <color rgb="FF000000"/>
            <rFont val="Tahoma"/>
            <family val="2"/>
          </rPr>
          <t xml:space="preserve">2/more - 40.4%
</t>
        </r>
        <r>
          <rPr>
            <sz val="10"/>
            <color rgb="FF000000"/>
            <rFont val="Tahoma"/>
            <family val="2"/>
          </rPr>
          <t xml:space="preserve">3/more - 16.6%
</t>
        </r>
      </text>
    </comment>
    <comment ref="D16" authorId="0" shapeId="0" xr:uid="{00000000-0006-0000-0800-00001E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Basic Health Care Provision Fund Costing by WorldBank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Originally from Health facility perspective, but marked up by 10% to reflect programme cost.
</t>
        </r>
        <r>
          <rPr>
            <sz val="10"/>
            <color rgb="FF000000"/>
            <rFont val="Arial"/>
            <family val="2"/>
          </rPr>
          <t xml:space="preserve">
</t>
        </r>
        <r>
          <rPr>
            <b/>
            <sz val="10"/>
            <color rgb="FF000000"/>
            <rFont val="Arial"/>
            <family val="2"/>
          </rPr>
          <t xml:space="preserve">Cost Elements </t>
        </r>
        <r>
          <rPr>
            <sz val="10"/>
            <color rgb="FF000000"/>
            <rFont val="Arial"/>
            <family val="2"/>
          </rPr>
          <t xml:space="preserve">- Drugs and consumables, personel/staff cost, hospital overhead and 10% mark-up for programme cost - </t>
        </r>
        <r>
          <rPr>
            <sz val="10"/>
            <color rgb="FF000000"/>
            <rFont val="Tahoma"/>
            <family val="2"/>
          </rPr>
          <t>$0.27 per dose, $0.81 for 3 doses for health service perspective cost, $0.89 for 3 doses and 10% program cost for program perspective cost</t>
        </r>
      </text>
    </comment>
    <comment ref="B17" authorId="0" shapeId="0" xr:uid="{00000000-0006-0000-0800-00001F000000}">
      <text>
        <r>
          <rPr>
            <b/>
            <sz val="10"/>
            <color rgb="FF000000"/>
            <rFont val="Tahoma"/>
            <family val="2"/>
          </rPr>
          <t>Adesoji Ologun:</t>
        </r>
        <r>
          <rPr>
            <sz val="10"/>
            <color rgb="FF000000"/>
            <rFont val="Tahoma"/>
            <family val="2"/>
          </rPr>
          <t xml:space="preserve">
</t>
        </r>
        <r>
          <rPr>
            <sz val="10"/>
            <color rgb="FF000000"/>
            <rFont val="Tahoma"/>
            <family val="2"/>
          </rPr>
          <t xml:space="preserve">Targeted at general population. Double fortified salt (DFS) Still being piloted. </t>
        </r>
      </text>
    </comment>
    <comment ref="D17" authorId="0" shapeId="0" xr:uid="{00000000-0006-0000-0800-000020000000}">
      <text>
        <r>
          <rPr>
            <b/>
            <sz val="10"/>
            <color rgb="FF000000"/>
            <rFont val="Tahoma"/>
            <family val="2"/>
          </rPr>
          <t>Adesoji Ologun:</t>
        </r>
        <r>
          <rPr>
            <sz val="10"/>
            <color rgb="FF000000"/>
            <rFont val="Tahoma"/>
            <family val="2"/>
          </rPr>
          <t xml:space="preserve">
</t>
        </r>
        <r>
          <rPr>
            <sz val="10"/>
            <color rgb="FF000000"/>
            <rFont val="Tahoma"/>
            <family val="2"/>
          </rPr>
          <t>No cost estimate available but cost should be similar to that of IFAS of other food items</t>
        </r>
      </text>
    </comment>
    <comment ref="B18" authorId="0" shapeId="0" xr:uid="{00000000-0006-0000-0800-000021000000}">
      <text>
        <r>
          <rPr>
            <b/>
            <sz val="10"/>
            <color rgb="FF000000"/>
            <rFont val="Tahoma"/>
            <family val="2"/>
          </rPr>
          <t xml:space="preserve">Adesoji Ologun:
</t>
        </r>
        <r>
          <rPr>
            <b/>
            <sz val="10"/>
            <color rgb="FF000000"/>
            <rFont val="Tahoma"/>
            <family val="2"/>
          </rPr>
          <t xml:space="preserve">Target Population - </t>
        </r>
        <r>
          <rPr>
            <sz val="10"/>
            <color rgb="FF000000"/>
            <rFont val="Arial"/>
            <family val="2"/>
          </rPr>
          <t xml:space="preserve">Caregiver but beneficiaries are infant and young children.
</t>
        </r>
        <r>
          <rPr>
            <sz val="10"/>
            <color rgb="FF000000"/>
            <rFont val="Arial"/>
            <family val="2"/>
          </rPr>
          <t xml:space="preserve">
</t>
        </r>
        <r>
          <rPr>
            <sz val="10"/>
            <color rgb="FF000000"/>
            <rFont val="Arial"/>
            <family val="2"/>
          </rPr>
          <t xml:space="preserve">Most of the intervention coverage estimate is at the outcome level, i.e children benefiting from the practices, wheras the unit cost estimate is at the direct output level - cost of educating the care giver. We need to give this a little more thought. </t>
        </r>
        <r>
          <rPr>
            <sz val="10"/>
            <color rgb="FF000000"/>
            <rFont val="Arial"/>
            <family val="2"/>
          </rPr>
          <t xml:space="preserve"> </t>
        </r>
        <r>
          <rPr>
            <sz val="10"/>
            <color rgb="FF000000"/>
            <rFont val="Tahoma"/>
            <family val="2"/>
          </rPr>
          <t xml:space="preserve">
</t>
        </r>
      </text>
    </comment>
    <comment ref="D18" authorId="0" shapeId="0" xr:uid="{00000000-0006-0000-0800-000022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UNICEF programme cost of delivering community IYCF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t>
        </r>
        <r>
          <rPr>
            <sz val="10"/>
            <color rgb="FF000000"/>
            <rFont val="Arial"/>
            <family val="2"/>
          </rPr>
          <t xml:space="preserve">
</t>
        </r>
        <r>
          <rPr>
            <b/>
            <sz val="10"/>
            <color rgb="FF000000"/>
            <rFont val="Arial"/>
            <family val="2"/>
          </rPr>
          <t xml:space="preserve">Cost Elements </t>
        </r>
        <r>
          <rPr>
            <sz val="10"/>
            <color rgb="FF000000"/>
            <rFont val="Arial"/>
            <family val="2"/>
          </rPr>
          <t xml:space="preserve">- Products, Advocacy, HR and Training, Social Mobilization, M&amp;E. </t>
        </r>
        <r>
          <rPr>
            <sz val="10"/>
            <color rgb="FF000000"/>
            <rFont val="Arial"/>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Other Programmes: WINNN - $3.05 to $3.83 per mother reached for c-IYCF; CRS - $3 per beneficiary; Might consider using WINNN cost estimate as there is a better correlation between WINNN and CRS programme. 
</t>
        </r>
      </text>
    </comment>
    <comment ref="B19" authorId="0" shapeId="0" xr:uid="{00000000-0006-0000-0800-000023000000}">
      <text>
        <r>
          <rPr>
            <b/>
            <sz val="10"/>
            <color rgb="FF000000"/>
            <rFont val="Tahoma"/>
            <family val="2"/>
          </rPr>
          <t>Adesoji Ologun:</t>
        </r>
        <r>
          <rPr>
            <sz val="10"/>
            <color rgb="FF000000"/>
            <rFont val="Tahoma"/>
            <family val="2"/>
          </rPr>
          <t xml:space="preserve">
</t>
        </r>
        <r>
          <rPr>
            <b/>
            <sz val="10"/>
            <color rgb="FF000000"/>
            <rFont val="Arial"/>
            <family val="2"/>
          </rPr>
          <t xml:space="preserve">Target population </t>
        </r>
        <r>
          <rPr>
            <sz val="10"/>
            <color rgb="FF000000"/>
            <rFont val="Arial"/>
            <family val="2"/>
          </rPr>
          <t xml:space="preserve">- Caregiver at Health facility. 
</t>
        </r>
        <r>
          <rPr>
            <sz val="10"/>
            <color rgb="FF000000"/>
            <rFont val="Tahoma"/>
            <family val="2"/>
          </rPr>
          <t xml:space="preserve">
</t>
        </r>
        <r>
          <rPr>
            <sz val="10"/>
            <color rgb="FF000000"/>
            <rFont val="Tahoma"/>
            <family val="2"/>
          </rPr>
          <t xml:space="preserve">See above for additional note.
</t>
        </r>
      </text>
    </comment>
    <comment ref="D19" authorId="0" shapeId="0" xr:uid="{00000000-0006-0000-0800-000024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Feed the future - CRS programme cost of delivering Facility IYCF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t>
        </r>
        <r>
          <rPr>
            <sz val="10"/>
            <color rgb="FF000000"/>
            <rFont val="Arial"/>
            <family val="2"/>
          </rPr>
          <t xml:space="preserve">
</t>
        </r>
        <r>
          <rPr>
            <b/>
            <sz val="10"/>
            <color rgb="FF000000"/>
            <rFont val="Arial"/>
            <family val="2"/>
          </rPr>
          <t xml:space="preserve">Cost Elements </t>
        </r>
        <r>
          <rPr>
            <sz val="10"/>
            <color rgb="FF000000"/>
            <rFont val="Arial"/>
            <family val="2"/>
          </rPr>
          <t xml:space="preserve">- </t>
        </r>
        <r>
          <rPr>
            <sz val="10"/>
            <color rgb="FF000000"/>
            <rFont val="Arial"/>
            <family val="2"/>
          </rPr>
          <t xml:space="preserve">Traininings, Global campaign, meetings, food demonstration, volunteer transport,  monitoring and supervision, facility overheads and staffing cost.  
</t>
        </r>
        <r>
          <rPr>
            <sz val="10"/>
            <color rgb="FF000000"/>
            <rFont val="Tahoma"/>
            <family val="2"/>
          </rPr>
          <t xml:space="preserve">
</t>
        </r>
        <r>
          <rPr>
            <sz val="10"/>
            <color rgb="FF000000"/>
            <rFont val="Tahoma"/>
            <family val="2"/>
          </rPr>
          <t xml:space="preserve">Note: Cost per mother reached with IYCF program; Cost per mother counselled during IYCF in the health facility. Mothers have multiple encounter with the IYCF education at different times
</t>
        </r>
      </text>
    </comment>
    <comment ref="B21" authorId="0" shapeId="0" xr:uid="{00000000-0006-0000-0800-000025000000}">
      <text>
        <r>
          <rPr>
            <b/>
            <sz val="10"/>
            <color rgb="FF000000"/>
            <rFont val="Tahoma"/>
            <family val="2"/>
          </rPr>
          <t>Adesoji Ologun:</t>
        </r>
        <r>
          <rPr>
            <sz val="10"/>
            <color rgb="FF000000"/>
            <rFont val="Tahoma"/>
            <family val="2"/>
          </rPr>
          <t xml:space="preserve">
</t>
        </r>
        <r>
          <rPr>
            <b/>
            <sz val="10"/>
            <color rgb="FF000000"/>
            <rFont val="Arial"/>
            <family val="2"/>
          </rPr>
          <t>Target population</t>
        </r>
        <r>
          <rPr>
            <sz val="10"/>
            <color rgb="FF000000"/>
            <rFont val="Arial"/>
            <family val="2"/>
          </rPr>
          <t xml:space="preserve">: Pregnant women. BHCPF costing
</t>
        </r>
        <r>
          <rPr>
            <sz val="10"/>
            <color rgb="FF000000"/>
            <rFont val="Arial"/>
            <family val="2"/>
          </rPr>
          <t xml:space="preserve">
</t>
        </r>
        <r>
          <rPr>
            <sz val="10"/>
            <color rgb="FF000000"/>
            <rFont val="Arial"/>
            <family val="2"/>
          </rPr>
          <t>Coverage information not available in surveys</t>
        </r>
        <r>
          <rPr>
            <sz val="10"/>
            <color rgb="FF000000"/>
            <rFont val="Arial"/>
            <family val="2"/>
          </rPr>
          <t xml:space="preserve">
</t>
        </r>
      </text>
    </comment>
    <comment ref="D21" authorId="0" shapeId="0" xr:uid="{00000000-0006-0000-0800-000026000000}">
      <text>
        <r>
          <rPr>
            <b/>
            <sz val="10"/>
            <color rgb="FF000000"/>
            <rFont val="Tahoma"/>
            <family val="2"/>
          </rPr>
          <t xml:space="preserve">Adesoji Ologun:
</t>
        </r>
        <r>
          <rPr>
            <b/>
            <sz val="10"/>
            <color rgb="FF000000"/>
            <rFont val="Tahoma"/>
            <family val="2"/>
          </rPr>
          <t xml:space="preserve">
</t>
        </r>
        <r>
          <rPr>
            <b/>
            <sz val="10"/>
            <color rgb="FF000000"/>
            <rFont val="Arial"/>
            <family val="2"/>
          </rPr>
          <t>Source</t>
        </r>
        <r>
          <rPr>
            <sz val="10"/>
            <color rgb="FF000000"/>
            <rFont val="Arial"/>
            <family val="2"/>
          </rPr>
          <t xml:space="preserve"> - Basic Health Care Provision Fund Costing by WorldBank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Originally from Health facility perspective, but marked up by 10% to reflect programme cost.
</t>
        </r>
        <r>
          <rPr>
            <sz val="10"/>
            <color rgb="FF000000"/>
            <rFont val="Arial"/>
            <family val="2"/>
          </rPr>
          <t xml:space="preserve">
</t>
        </r>
        <r>
          <rPr>
            <b/>
            <sz val="10"/>
            <color rgb="FF000000"/>
            <rFont val="Arial"/>
            <family val="2"/>
          </rPr>
          <t xml:space="preserve">Cost Elements </t>
        </r>
        <r>
          <rPr>
            <sz val="10"/>
            <color rgb="FF000000"/>
            <rFont val="Arial"/>
            <family val="2"/>
          </rPr>
          <t xml:space="preserve">- Training, personel/staff cost, hospital overhead and 10% mark-up for programme cost. </t>
        </r>
        <r>
          <rPr>
            <sz val="10"/>
            <color rgb="FF000000"/>
            <rFont val="Arial"/>
            <family val="2"/>
          </rPr>
          <t xml:space="preserve">
</t>
        </r>
        <r>
          <rPr>
            <sz val="10"/>
            <color rgb="FF000000"/>
            <rFont val="Tahoma"/>
            <family val="2"/>
          </rPr>
          <t xml:space="preserve">
</t>
        </r>
      </text>
    </comment>
    <comment ref="B22" authorId="0" shapeId="0" xr:uid="{00000000-0006-0000-0800-000027000000}">
      <text>
        <r>
          <rPr>
            <b/>
            <sz val="10"/>
            <color rgb="FF000000"/>
            <rFont val="Tahoma"/>
            <family val="2"/>
          </rPr>
          <t>Adesoji Ologun:</t>
        </r>
        <r>
          <rPr>
            <sz val="10"/>
            <color rgb="FF000000"/>
            <rFont val="Tahoma"/>
            <family val="2"/>
          </rPr>
          <t xml:space="preserve">
</t>
        </r>
        <r>
          <rPr>
            <sz val="10"/>
            <color rgb="FF000000"/>
            <rFont val="Arial"/>
            <family val="2"/>
          </rPr>
          <t>Target Population - Children 6-23 months below poverty line</t>
        </r>
      </text>
    </comment>
    <comment ref="D22" authorId="0" shapeId="0" xr:uid="{00000000-0006-0000-0800-000028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DFID funded WINNN programme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Full costing study carried out as part of the programme's operation research.
</t>
        </r>
        <r>
          <rPr>
            <sz val="10"/>
            <color rgb="FF000000"/>
            <rFont val="Arial"/>
            <family val="2"/>
          </rPr>
          <t xml:space="preserve">
</t>
        </r>
        <r>
          <rPr>
            <b/>
            <sz val="10"/>
            <color rgb="FF000000"/>
            <rFont val="Arial"/>
            <family val="2"/>
          </rPr>
          <t xml:space="preserve">Cost Elements </t>
        </r>
        <r>
          <rPr>
            <sz val="10"/>
            <color rgb="FF000000"/>
            <rFont val="Arial"/>
            <family val="2"/>
          </rPr>
          <t xml:space="preserve">- Product cost, HR, operations and maintanance, training, M&amp;E, goods and services. </t>
        </r>
        <r>
          <rPr>
            <sz val="10"/>
            <color rgb="FF000000"/>
            <rFont val="Arial"/>
            <family val="2"/>
          </rPr>
          <t xml:space="preserve">
</t>
        </r>
      </text>
    </comment>
    <comment ref="B23" authorId="0" shapeId="0" xr:uid="{00000000-0006-0000-0800-000029000000}">
      <text>
        <r>
          <rPr>
            <b/>
            <sz val="10"/>
            <color rgb="FF000000"/>
            <rFont val="Tahoma"/>
            <family val="2"/>
          </rPr>
          <t>Adesoji Ologun:</t>
        </r>
        <r>
          <rPr>
            <sz val="10"/>
            <color rgb="FF000000"/>
            <rFont val="Tahoma"/>
            <family val="2"/>
          </rPr>
          <t xml:space="preserve">
</t>
        </r>
        <r>
          <rPr>
            <b/>
            <sz val="10"/>
            <color rgb="FF000000"/>
            <rFont val="Tahoma"/>
            <family val="2"/>
          </rPr>
          <t>Target Population</t>
        </r>
        <r>
          <rPr>
            <sz val="10"/>
            <color rgb="FF000000"/>
            <rFont val="Tahoma"/>
            <family val="2"/>
          </rPr>
          <t xml:space="preserve">: General - at household level. 
</t>
        </r>
        <r>
          <rPr>
            <sz val="10"/>
            <color rgb="FF000000"/>
            <rFont val="Tahoma"/>
            <family val="2"/>
          </rPr>
          <t xml:space="preserve">
</t>
        </r>
        <r>
          <rPr>
            <sz val="10"/>
            <color rgb="FF000000"/>
            <rFont val="Tahoma"/>
            <family val="2"/>
          </rPr>
          <t xml:space="preserve">60.2% - Percentage that own at least one ITN. 
</t>
        </r>
        <r>
          <rPr>
            <sz val="10"/>
            <color rgb="FF000000"/>
            <rFont val="Tahoma"/>
            <family val="2"/>
          </rPr>
          <t xml:space="preserve">
</t>
        </r>
        <r>
          <rPr>
            <sz val="10"/>
            <color rgb="FF000000"/>
            <rFont val="Tahoma"/>
            <family val="2"/>
          </rPr>
          <t xml:space="preserve">51.7% - Percentage of children U5 who slept under ITN  'last night'
</t>
        </r>
        <r>
          <rPr>
            <sz val="10"/>
            <color rgb="FF000000"/>
            <rFont val="Tahoma"/>
            <family val="2"/>
          </rPr>
          <t xml:space="preserve">
</t>
        </r>
        <r>
          <rPr>
            <sz val="10"/>
            <color rgb="FF000000"/>
            <rFont val="Tahoma"/>
            <family val="2"/>
          </rPr>
          <t xml:space="preserve">57.5 %- Percentage of Pregnant women who slept under ITN 'last night"
</t>
        </r>
        <r>
          <rPr>
            <sz val="10"/>
            <color rgb="FF000000"/>
            <rFont val="Tahoma"/>
            <family val="2"/>
          </rPr>
          <t xml:space="preserve">
</t>
        </r>
        <r>
          <rPr>
            <b/>
            <sz val="10"/>
            <color rgb="FF000000"/>
            <rFont val="Tahoma"/>
            <family val="2"/>
          </rPr>
          <t>Source:</t>
        </r>
        <r>
          <rPr>
            <sz val="10"/>
            <color rgb="FF000000"/>
            <rFont val="Tahoma"/>
            <family val="2"/>
          </rPr>
          <t xml:space="preserve"> NDHS 2018</t>
        </r>
      </text>
    </comment>
    <comment ref="D23" authorId="0" shapeId="0" xr:uid="{00000000-0006-0000-0800-00002A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USAID commodity costing (National pool procurement arrangement)</t>
        </r>
        <r>
          <rPr>
            <sz val="10"/>
            <color rgb="FF000000"/>
            <rFont val="Arial"/>
            <family val="2"/>
          </rPr>
          <t xml:space="preserve">
</t>
        </r>
        <r>
          <rPr>
            <b/>
            <sz val="10"/>
            <color rgb="FF000000"/>
            <rFont val="Arial"/>
            <family val="2"/>
          </rPr>
          <t xml:space="preserve">Cost Perspective </t>
        </r>
        <r>
          <rPr>
            <sz val="10"/>
            <color rgb="FF000000"/>
            <rFont val="Arial"/>
            <family val="2"/>
          </rPr>
          <t xml:space="preserve">- Cost of Commodity and Logistics alone.  but marked up by 10% to reflect programme cost.
</t>
        </r>
        <r>
          <rPr>
            <sz val="10"/>
            <color rgb="FF000000"/>
            <rFont val="Arial"/>
            <family val="2"/>
          </rPr>
          <t xml:space="preserve">
</t>
        </r>
        <r>
          <rPr>
            <b/>
            <sz val="10"/>
            <color rgb="FF000000"/>
            <rFont val="Arial"/>
            <family val="2"/>
          </rPr>
          <t xml:space="preserve">Cost Elements </t>
        </r>
        <r>
          <rPr>
            <sz val="10"/>
            <color rgb="FF000000"/>
            <rFont val="Arial"/>
            <family val="2"/>
          </rPr>
          <t xml:space="preserve">- LLIN cost, Storage and distribution cost and 10% mark-up for programme cost. </t>
        </r>
        <r>
          <rPr>
            <sz val="10"/>
            <color rgb="FF000000"/>
            <rFont val="Arial"/>
            <family val="2"/>
          </rPr>
          <t xml:space="preserve">
</t>
        </r>
        <r>
          <rPr>
            <sz val="10"/>
            <color rgb="FF000000"/>
            <rFont val="Tahoma"/>
            <family val="2"/>
          </rPr>
          <t xml:space="preserve">
</t>
        </r>
        <r>
          <rPr>
            <sz val="10"/>
            <color rgb="FF000000"/>
            <rFont val="Tahoma"/>
            <family val="2"/>
          </rPr>
          <t>Cost of LLIN - $2.45 and distribution cost of $0.5. Marked up by 10% for programme cost</t>
        </r>
      </text>
    </comment>
    <comment ref="B24" authorId="0" shapeId="0" xr:uid="{00000000-0006-0000-0800-00002B000000}">
      <text>
        <r>
          <rPr>
            <b/>
            <sz val="10"/>
            <color rgb="FF000000"/>
            <rFont val="Tahoma"/>
            <family val="2"/>
          </rPr>
          <t>Adesoji Ologun:</t>
        </r>
        <r>
          <rPr>
            <sz val="10"/>
            <color rgb="FF000000"/>
            <rFont val="Tahoma"/>
            <family val="2"/>
          </rPr>
          <t xml:space="preserve">
</t>
        </r>
        <r>
          <rPr>
            <sz val="10"/>
            <color rgb="FF000000"/>
            <rFont val="Arial"/>
            <family val="2"/>
          </rPr>
          <t xml:space="preserve">The Coverage is for a study conducted in Nothern Nigeria. See source. 
</t>
        </r>
        <r>
          <rPr>
            <sz val="10"/>
            <color rgb="FF000000"/>
            <rFont val="Arial"/>
            <family val="2"/>
          </rPr>
          <t xml:space="preserve">
</t>
        </r>
        <r>
          <rPr>
            <sz val="10"/>
            <color rgb="FF000000"/>
            <rFont val="Arial"/>
            <family val="2"/>
          </rPr>
          <t>"45% of respondents indicated that MgSO</t>
        </r>
        <r>
          <rPr>
            <vertAlign val="subscript"/>
            <sz val="10"/>
            <color rgb="FF000000"/>
            <rFont val="Arial"/>
            <family val="2"/>
          </rPr>
          <t>4</t>
        </r>
        <r>
          <rPr>
            <sz val="10"/>
            <color rgb="FF000000"/>
            <rFont val="Arial"/>
            <family val="2"/>
          </rPr>
          <t> was used to prevent and treat convulsions in severe PE/E in their facilities"</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Source - </t>
        </r>
        <r>
          <rPr>
            <sz val="10"/>
            <color rgb="FF000000"/>
            <rFont val="Arial"/>
            <family val="2"/>
          </rPr>
          <t>https://www.ncbi.nlm.nih.gov/pmc/articles/PMC4451740/pdf/12884_2015_Article_554.pdf</t>
        </r>
        <r>
          <rPr>
            <sz val="10"/>
            <color rgb="FF000000"/>
            <rFont val="Tahoma"/>
            <family val="2"/>
          </rPr>
          <t xml:space="preserve">
</t>
        </r>
      </text>
    </comment>
    <comment ref="D24" authorId="0" shapeId="0" xr:uid="{00000000-0006-0000-0800-00002C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Basic Health Care Provision Fund Costing by WorldBank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Originally from Health facility perspective, but marked up by 10% to reflect programme cost.
</t>
        </r>
        <r>
          <rPr>
            <sz val="10"/>
            <color rgb="FF000000"/>
            <rFont val="Arial"/>
            <family val="2"/>
          </rPr>
          <t xml:space="preserve">
</t>
        </r>
        <r>
          <rPr>
            <b/>
            <sz val="10"/>
            <color rgb="FF000000"/>
            <rFont val="Arial"/>
            <family val="2"/>
          </rPr>
          <t xml:space="preserve">Cost Elements </t>
        </r>
        <r>
          <rPr>
            <sz val="10"/>
            <color rgb="FF000000"/>
            <rFont val="Arial"/>
            <family val="2"/>
          </rPr>
          <t xml:space="preserve">- Drugs and consumables, personel/staff cost, hospital overhead and 10% mark-up for programme cost. </t>
        </r>
        <r>
          <rPr>
            <sz val="10"/>
            <color rgb="FF000000"/>
            <rFont val="Arial"/>
            <family val="2"/>
          </rPr>
          <t xml:space="preserve">
</t>
        </r>
      </text>
    </comment>
    <comment ref="B25" authorId="0" shapeId="0" xr:uid="{00000000-0006-0000-0800-00002D000000}">
      <text>
        <r>
          <rPr>
            <b/>
            <sz val="10"/>
            <color rgb="FF000000"/>
            <rFont val="Tahoma"/>
            <family val="2"/>
          </rPr>
          <t>Adesoji Ologun:</t>
        </r>
        <r>
          <rPr>
            <sz val="10"/>
            <color rgb="FF000000"/>
            <rFont val="Tahoma"/>
            <family val="2"/>
          </rPr>
          <t xml:space="preserve">
</t>
        </r>
        <r>
          <rPr>
            <sz val="10"/>
            <color rgb="FF000000"/>
            <rFont val="+mn-lt"/>
            <charset val="1"/>
          </rPr>
          <t xml:space="preserve">The Coverage is for a study conducted in Nothern Nigeria. See source. 
</t>
        </r>
        <r>
          <rPr>
            <sz val="10"/>
            <color rgb="FF000000"/>
            <rFont val="+mn-lt"/>
            <charset val="1"/>
          </rPr>
          <t>"45% of respondents indicated that MgSO</t>
        </r>
        <r>
          <rPr>
            <vertAlign val="subscript"/>
            <sz val="10"/>
            <color rgb="FF000000"/>
            <rFont val="+mn-lt"/>
            <charset val="1"/>
          </rPr>
          <t>4</t>
        </r>
        <r>
          <rPr>
            <sz val="10"/>
            <color rgb="FF000000"/>
            <rFont val="+mn-lt"/>
            <charset val="1"/>
          </rPr>
          <t xml:space="preserve"> was used to prevent and treat convulsions in severe PE/E in their facilities"
</t>
        </r>
        <r>
          <rPr>
            <sz val="10"/>
            <color rgb="FF000000"/>
            <rFont val="+mn-lt"/>
            <charset val="1"/>
          </rPr>
          <t xml:space="preserve">Source - https://www.ncbi.nlm.nih.gov/pmc/articles/PMC4451740/pdf/12884_2015_Article_554.pdf
</t>
        </r>
      </text>
    </comment>
    <comment ref="D25" authorId="0" shapeId="0" xr:uid="{00000000-0006-0000-0800-00002E000000}">
      <text>
        <r>
          <rPr>
            <b/>
            <sz val="10"/>
            <color rgb="FF000000"/>
            <rFont val="Tahoma"/>
            <family val="2"/>
          </rPr>
          <t>Adesoji Ologun:</t>
        </r>
        <r>
          <rPr>
            <sz val="10"/>
            <color rgb="FF000000"/>
            <rFont val="Tahoma"/>
            <family val="2"/>
          </rPr>
          <t xml:space="preserve">
</t>
        </r>
        <r>
          <rPr>
            <sz val="10"/>
            <color rgb="FF000000"/>
            <rFont val="Tahoma"/>
            <family val="2"/>
          </rPr>
          <t>Same as above</t>
        </r>
      </text>
    </comment>
    <comment ref="B26" authorId="0" shapeId="0" xr:uid="{00000000-0006-0000-0800-00002F000000}">
      <text>
        <r>
          <rPr>
            <b/>
            <sz val="10"/>
            <color rgb="FF000000"/>
            <rFont val="Tahoma"/>
            <family val="2"/>
          </rPr>
          <t>Adesoji Ologun:</t>
        </r>
        <r>
          <rPr>
            <sz val="10"/>
            <color rgb="FF000000"/>
            <rFont val="Tahoma"/>
            <family val="2"/>
          </rPr>
          <t xml:space="preserve">
</t>
        </r>
        <r>
          <rPr>
            <b/>
            <sz val="10"/>
            <color rgb="FF000000"/>
            <rFont val="Arial"/>
            <family val="2"/>
          </rPr>
          <t xml:space="preserve">Target population </t>
        </r>
        <r>
          <rPr>
            <sz val="10"/>
            <color rgb="FF000000"/>
            <rFont val="Arial"/>
            <family val="2"/>
          </rPr>
          <t xml:space="preserve">- Children 6-23 months.
</t>
        </r>
        <r>
          <rPr>
            <sz val="10"/>
            <color rgb="FF000000"/>
            <rFont val="Arial"/>
            <family val="2"/>
          </rPr>
          <t xml:space="preserve">
</t>
        </r>
        <r>
          <rPr>
            <sz val="10"/>
            <color rgb="FF000000"/>
            <rFont val="Arial"/>
            <family val="2"/>
          </rPr>
          <t xml:space="preserve">Coverage Data not available
</t>
        </r>
        <r>
          <rPr>
            <sz val="10"/>
            <color rgb="FF000000"/>
            <rFont val="Arial"/>
            <family val="2"/>
          </rPr>
          <t xml:space="preserve">
</t>
        </r>
        <r>
          <rPr>
            <sz val="10"/>
            <color rgb="FF000000"/>
            <rFont val="Arial"/>
            <family val="2"/>
          </rPr>
          <t xml:space="preserve">Delivered through health facailities  during the IYCF counseling  sessions . Regimenet is 1 sachet per day sachet for 2 months day then a break of 2 months   then another 1 sachet per day for 2 months. It start at age 6 month until the child is 23 months  </t>
        </r>
        <r>
          <rPr>
            <sz val="10"/>
            <color rgb="FF000000"/>
            <rFont val="Arial"/>
            <family val="2"/>
          </rPr>
          <t xml:space="preserve">
</t>
        </r>
        <r>
          <rPr>
            <sz val="10"/>
            <color rgb="FF000000"/>
            <rFont val="Arial"/>
            <family val="2"/>
          </rPr>
          <t xml:space="preserve">
</t>
        </r>
        <r>
          <rPr>
            <sz val="10"/>
            <color rgb="FF000000"/>
            <rFont val="Arial"/>
            <family val="2"/>
          </rPr>
          <t xml:space="preserve">  </t>
        </r>
      </text>
    </comment>
    <comment ref="D26" authorId="0" shapeId="0" xr:uid="{00000000-0006-0000-0800-000030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UNICEF programme estimate</t>
        </r>
        <r>
          <rPr>
            <sz val="18"/>
            <color rgb="FF000000"/>
            <rFont val="Arial"/>
            <family val="2"/>
          </rPr>
          <t xml:space="preserve">.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Cost per child per year
</t>
        </r>
        <r>
          <rPr>
            <b/>
            <sz val="10"/>
            <color rgb="FF000000"/>
            <rFont val="Arial"/>
            <family val="2"/>
          </rPr>
          <t xml:space="preserve">Cost Elements </t>
        </r>
        <r>
          <rPr>
            <sz val="10"/>
            <color rgb="FF000000"/>
            <rFont val="Arial"/>
            <family val="2"/>
          </rPr>
          <t>- Products, logistics, HR and training, Social mobilization, M&amp;E</t>
        </r>
        <r>
          <rPr>
            <sz val="10"/>
            <color rgb="FF000000"/>
            <rFont val="Tahoma"/>
            <family val="2"/>
          </rPr>
          <t xml:space="preserve">
</t>
        </r>
        <r>
          <rPr>
            <sz val="10"/>
            <color rgb="FF000000"/>
            <rFont val="Tahoma"/>
            <family val="2"/>
          </rPr>
          <t xml:space="preserve">
</t>
        </r>
        <r>
          <rPr>
            <sz val="10"/>
            <color rgb="FF000000"/>
            <rFont val="Tahoma"/>
            <family val="2"/>
          </rPr>
          <t>Cost per child 6-11 month of age per year; Cost per year per child 12-23 months of age</t>
        </r>
      </text>
    </comment>
    <comment ref="B27" authorId="0" shapeId="0" xr:uid="{00000000-0006-0000-0800-000031000000}">
      <text>
        <r>
          <rPr>
            <b/>
            <sz val="10"/>
            <color rgb="FF000000"/>
            <rFont val="Tahoma"/>
            <family val="2"/>
          </rPr>
          <t>Adesoji Ologun:</t>
        </r>
        <r>
          <rPr>
            <sz val="10"/>
            <color rgb="FF000000"/>
            <rFont val="Tahoma"/>
            <family val="2"/>
          </rPr>
          <t xml:space="preserve">
</t>
        </r>
        <r>
          <rPr>
            <sz val="10"/>
            <color rgb="FF000000"/>
            <rFont val="Arial"/>
            <family val="2"/>
          </rPr>
          <t xml:space="preserve">Target Population - Pregnant Women.  </t>
        </r>
        <r>
          <rPr>
            <sz val="10"/>
            <color rgb="FF000000"/>
            <rFont val="Arial"/>
            <family val="2"/>
          </rPr>
          <t xml:space="preserve">
</t>
        </r>
      </text>
    </comment>
    <comment ref="B28" authorId="0" shapeId="0" xr:uid="{00000000-0006-0000-0800-000032000000}">
      <text>
        <r>
          <rPr>
            <b/>
            <sz val="10"/>
            <color rgb="FF000000"/>
            <rFont val="Tahoma"/>
            <family val="2"/>
          </rPr>
          <t>Adesoji Ologun:</t>
        </r>
        <r>
          <rPr>
            <sz val="10"/>
            <color rgb="FF000000"/>
            <rFont val="Tahoma"/>
            <family val="2"/>
          </rPr>
          <t xml:space="preserve">
</t>
        </r>
        <r>
          <rPr>
            <sz val="10"/>
            <color rgb="FF000000"/>
            <rFont val="Tahoma"/>
            <family val="2"/>
          </rPr>
          <t xml:space="preserve">NDHS 2018 - 40%
</t>
        </r>
        <r>
          <rPr>
            <sz val="10"/>
            <color rgb="FF000000"/>
            <rFont val="Tahoma"/>
            <family val="2"/>
          </rPr>
          <t xml:space="preserve">
</t>
        </r>
        <r>
          <rPr>
            <sz val="10"/>
            <color rgb="FF000000"/>
            <rFont val="Tahoma"/>
            <family val="2"/>
          </rPr>
          <t xml:space="preserve">MICS5 - 37%
</t>
        </r>
      </text>
    </comment>
    <comment ref="D28" authorId="1" shapeId="0" xr:uid="{00000000-0006-0000-0800-000033000000}">
      <text>
        <r>
          <rPr>
            <b/>
            <sz val="9"/>
            <color rgb="FF000000"/>
            <rFont val="Tahoma"/>
            <family val="2"/>
          </rPr>
          <t>Nick Scott:</t>
        </r>
        <r>
          <rPr>
            <sz val="9"/>
            <color rgb="FF000000"/>
            <rFont val="Tahoma"/>
            <family val="2"/>
          </rPr>
          <t xml:space="preserve">
</t>
        </r>
        <r>
          <rPr>
            <sz val="9"/>
            <color rgb="FF000000"/>
            <rFont val="Tahoma"/>
            <family val="2"/>
          </rPr>
          <t xml:space="preserve">The cost per child per year can be estimated as 
</t>
        </r>
        <r>
          <rPr>
            <sz val="9"/>
            <color rgb="FF000000"/>
            <rFont val="Tahoma"/>
            <family val="2"/>
          </rPr>
          <t xml:space="preserve">= (cost per treatment) * (annual diarrhoea incidence)
</t>
        </r>
        <r>
          <rPr>
            <sz val="9"/>
            <color rgb="FF000000"/>
            <rFont val="Tahoma"/>
            <family val="2"/>
          </rPr>
          <t xml:space="preserve">
</t>
        </r>
        <r>
          <rPr>
            <sz val="9"/>
            <color rgb="FF000000"/>
            <rFont val="Tahoma"/>
            <family val="2"/>
          </rPr>
          <t xml:space="preserve">Diarrhoea incidence is the average in children under 5.  See user guide for further information
</t>
        </r>
        <r>
          <rPr>
            <sz val="9"/>
            <color rgb="FF000000"/>
            <rFont val="Tahoma"/>
            <family val="2"/>
          </rPr>
          <t xml:space="preserve">
</t>
        </r>
        <r>
          <rPr>
            <sz val="9"/>
            <color rgb="FF000000"/>
            <rFont val="Tahoma"/>
            <family val="2"/>
          </rPr>
          <t xml:space="preserve">
</t>
        </r>
        <r>
          <rPr>
            <sz val="9"/>
            <color rgb="FF000000"/>
            <rFont val="Tahoma"/>
            <family val="2"/>
          </rPr>
          <t xml:space="preserve">BHCPF cost estimate per episode *3.3 (Annual incidence of 330%) - </t>
        </r>
        <r>
          <rPr>
            <sz val="10"/>
            <color rgb="FF000000"/>
            <rFont val="Arial"/>
            <family val="2"/>
          </rPr>
          <t>Source of Annual incidence - Talbert A, Thuo N, Karisa J, Chesaro C, Ohuma E, Ignas J, et al. Diarrhoea complicating severe acute malnutrition in kenyan children: a prospective descriptive study of risk factors and outcome. </t>
        </r>
        <r>
          <rPr>
            <i/>
            <sz val="10"/>
            <color rgb="FF000000"/>
            <rFont val="Arial"/>
            <family val="2"/>
          </rPr>
          <t>PLoS One</t>
        </r>
        <r>
          <rPr>
            <sz val="10"/>
            <color rgb="FF000000"/>
            <rFont val="Arial"/>
            <family val="2"/>
          </rPr>
          <t>. 2012. 7(6):e38321. [Medline] and BHCPF estimate </t>
        </r>
        <r>
          <rPr>
            <sz val="10"/>
            <color rgb="FF000000"/>
            <rFont val="Arial"/>
            <family val="2"/>
          </rPr>
          <t xml:space="preserve">
</t>
        </r>
      </text>
    </comment>
    <comment ref="B30" authorId="0" shapeId="0" xr:uid="{00000000-0006-0000-0800-000034000000}">
      <text>
        <r>
          <rPr>
            <b/>
            <sz val="10"/>
            <color rgb="FF000000"/>
            <rFont val="Tahoma"/>
            <family val="2"/>
          </rPr>
          <t>Adesoji Ologun:</t>
        </r>
        <r>
          <rPr>
            <sz val="10"/>
            <color rgb="FF000000"/>
            <rFont val="Tahoma"/>
            <family val="2"/>
          </rPr>
          <t xml:space="preserve">
</t>
        </r>
        <r>
          <rPr>
            <sz val="10"/>
            <color rgb="FF000000"/>
            <rFont val="Tahoma"/>
            <family val="2"/>
          </rPr>
          <t xml:space="preserve">Data from 15 district in the north for programme imoplemented by UNICEF, Action aganist hunger, Save the children have varying coverage. The Minimum coverage is 15.9% and ther maximim is 88.9% the median covrage is 36.2%. Intervention period is between 2014&amp;2016
</t>
        </r>
        <r>
          <rPr>
            <sz val="10"/>
            <color rgb="FF000000"/>
            <rFont val="Tahoma"/>
            <family val="2"/>
          </rPr>
          <t xml:space="preserve">
</t>
        </r>
        <r>
          <rPr>
            <sz val="10"/>
            <color rgb="FF000000"/>
            <rFont val="Tahoma"/>
            <family val="2"/>
          </rPr>
          <t xml:space="preserve">Source - </t>
        </r>
        <r>
          <rPr>
            <sz val="10"/>
            <color rgb="FF000000"/>
            <rFont val="Tahoma"/>
            <family val="2"/>
          </rPr>
          <t xml:space="preserve">https://public.tableau.com/shared/R2FB45WX6?:display_count=yes&amp;:origin=viz_share_link
</t>
        </r>
      </text>
    </comment>
    <comment ref="D30" authorId="1" shapeId="0" xr:uid="{00000000-0006-0000-0800-000035000000}">
      <text>
        <r>
          <rPr>
            <b/>
            <sz val="9"/>
            <color rgb="FF000000"/>
            <rFont val="Tahoma"/>
            <family val="2"/>
          </rPr>
          <t xml:space="preserve">Adesoji Ologun: 
</t>
        </r>
        <r>
          <rPr>
            <b/>
            <sz val="10"/>
            <color rgb="FF000000"/>
            <rFont val="Arial"/>
            <family val="2"/>
          </rPr>
          <t>Source</t>
        </r>
        <r>
          <rPr>
            <sz val="10"/>
            <color rgb="FF000000"/>
            <rFont val="Arial"/>
            <family val="2"/>
          </rPr>
          <t xml:space="preserve"> - UNICEF programme cost</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t>
        </r>
        <r>
          <rPr>
            <b/>
            <sz val="10"/>
            <color rgb="FF000000"/>
            <rFont val="Arial"/>
            <family val="2"/>
          </rPr>
          <t xml:space="preserve">Cost Elements </t>
        </r>
        <r>
          <rPr>
            <sz val="10"/>
            <color rgb="FF000000"/>
            <rFont val="Arial"/>
            <family val="2"/>
          </rPr>
          <t>- Products, Logistics, HR and training, M&amp;E</t>
        </r>
        <r>
          <rPr>
            <b/>
            <sz val="10"/>
            <color rgb="FF000000"/>
            <rFont val="Tahoma"/>
            <family val="2"/>
          </rPr>
          <t xml:space="preserve">
</t>
        </r>
        <r>
          <rPr>
            <b/>
            <sz val="10"/>
            <color rgb="FF000000"/>
            <rFont val="Tahoma"/>
            <family val="2"/>
          </rPr>
          <t xml:space="preserve">
</t>
        </r>
        <r>
          <rPr>
            <b/>
            <sz val="10"/>
            <color rgb="FF000000"/>
            <rFont val="Tahoma"/>
            <family val="2"/>
          </rPr>
          <t>Nick Scott:</t>
        </r>
        <r>
          <rPr>
            <sz val="10"/>
            <color rgb="FF000000"/>
            <rFont val="Tahoma"/>
            <family val="2"/>
          </rPr>
          <t xml:space="preserve">
</t>
        </r>
        <r>
          <rPr>
            <sz val="10"/>
            <color rgb="FF000000"/>
            <rFont val="Tahoma"/>
            <family val="2"/>
          </rPr>
          <t xml:space="preserve">The cost per child per year can be estimated as 
</t>
        </r>
        <r>
          <rPr>
            <sz val="10"/>
            <color rgb="FF000000"/>
            <rFont val="Tahoma"/>
            <family val="2"/>
          </rPr>
          <t xml:space="preserve">= (cost per treatment episode) * (SAM prevalence) * 2.6
</t>
        </r>
        <r>
          <rPr>
            <sz val="10"/>
            <color rgb="FF000000"/>
            <rFont val="Tahoma"/>
            <family val="2"/>
          </rPr>
          <t xml:space="preserve">
</t>
        </r>
        <r>
          <rPr>
            <sz val="10"/>
            <color rgb="FF000000"/>
            <rFont val="Tahoma"/>
            <family val="2"/>
          </rPr>
          <t xml:space="preserve">Cost per treatment episode includes management of MAM (if selected) and is an average over delivery modalities. See user guide for further information
</t>
        </r>
        <r>
          <rPr>
            <sz val="10"/>
            <color rgb="FF000000"/>
            <rFont val="Tahoma"/>
            <family val="2"/>
          </rPr>
          <t xml:space="preserve">
</t>
        </r>
        <r>
          <rPr>
            <sz val="10"/>
            <color rgb="FF000000"/>
            <rFont val="Tahoma"/>
            <family val="2"/>
          </rPr>
          <t xml:space="preserve">
</t>
        </r>
        <r>
          <rPr>
            <sz val="10"/>
            <color rgb="FF000000"/>
            <rFont val="Tahoma"/>
            <family val="2"/>
          </rPr>
          <t xml:space="preserve">Cost per treatment episode - $68.66 - CRS, $105 - UNICEF, $115.40  - BHCPF . 
</t>
        </r>
        <r>
          <rPr>
            <sz val="9"/>
            <color rgb="FF000000"/>
            <rFont val="Tahoma"/>
            <family val="2"/>
          </rPr>
          <t xml:space="preserve">
</t>
        </r>
        <r>
          <rPr>
            <sz val="10"/>
            <color rgb="FF000000"/>
            <rFont val="Arial"/>
            <family val="2"/>
          </rPr>
          <t>Severe Acute Malnutrition [SAM], (WHZ&lt;-3/Oedema) - 1.5% (NNHS 2018)</t>
        </r>
      </text>
    </comment>
    <comment ref="B31" authorId="0" shapeId="0" xr:uid="{00000000-0006-0000-0800-000036000000}">
      <text>
        <r>
          <rPr>
            <b/>
            <sz val="10"/>
            <color rgb="FF000000"/>
            <rFont val="Tahoma"/>
            <family val="2"/>
          </rPr>
          <t>Adesoji Ologun:</t>
        </r>
        <r>
          <rPr>
            <sz val="10"/>
            <color rgb="FF000000"/>
            <rFont val="Tahoma"/>
            <family val="2"/>
          </rPr>
          <t xml:space="preserve">
</t>
        </r>
        <r>
          <rPr>
            <sz val="10"/>
            <color rgb="FF000000"/>
            <rFont val="Arial"/>
            <family val="2"/>
          </rPr>
          <t xml:space="preserve">Target population: Children 0-59months. </t>
        </r>
        <r>
          <rPr>
            <sz val="10"/>
            <color rgb="FF000000"/>
            <rFont val="Arial"/>
            <family val="2"/>
          </rPr>
          <t xml:space="preserve">
</t>
        </r>
        <r>
          <rPr>
            <sz val="10"/>
            <color rgb="FF000000"/>
            <rFont val="Tahoma"/>
            <family val="2"/>
          </rPr>
          <t xml:space="preserve">
</t>
        </r>
        <r>
          <rPr>
            <sz val="10"/>
            <color rgb="FF000000"/>
            <rFont val="Tahoma"/>
            <family val="2"/>
          </rPr>
          <t>National Nutrition and Health Survey 2018</t>
        </r>
      </text>
    </comment>
    <comment ref="D31" authorId="0" shapeId="0" xr:uid="{00000000-0006-0000-0800-000037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UNICEF programme estimate.  </t>
        </r>
        <r>
          <rPr>
            <sz val="10"/>
            <color rgb="FF000000"/>
            <rFont val="Arial"/>
            <family val="2"/>
          </rPr>
          <t xml:space="preserve">
</t>
        </r>
        <r>
          <rPr>
            <b/>
            <sz val="10"/>
            <color rgb="FF000000"/>
            <rFont val="Arial"/>
            <family val="2"/>
          </rPr>
          <t xml:space="preserve">Cost Perspective </t>
        </r>
        <r>
          <rPr>
            <sz val="10"/>
            <color rgb="FF000000"/>
            <rFont val="Arial"/>
            <family val="2"/>
          </rPr>
          <t>- Programme perspective. Cost per child per year</t>
        </r>
        <r>
          <rPr>
            <sz val="10"/>
            <color rgb="FF000000"/>
            <rFont val="Arial"/>
            <family val="2"/>
          </rPr>
          <t xml:space="preserve">
</t>
        </r>
        <r>
          <rPr>
            <b/>
            <sz val="10"/>
            <color rgb="FF000000"/>
            <rFont val="Arial"/>
            <family val="2"/>
          </rPr>
          <t xml:space="preserve">Cost Elements </t>
        </r>
        <r>
          <rPr>
            <sz val="10"/>
            <color rgb="FF000000"/>
            <rFont val="Arial"/>
            <family val="2"/>
          </rPr>
          <t>- Products, logistics, HR and training, Social mobilization, M&amp;E</t>
        </r>
        <r>
          <rPr>
            <sz val="10"/>
            <color rgb="FF000000"/>
            <rFont val="Arial"/>
            <family val="2"/>
          </rPr>
          <t xml:space="preserve">
</t>
        </r>
        <r>
          <rPr>
            <sz val="10"/>
            <color rgb="FF000000"/>
            <rFont val="Tahoma"/>
            <family val="2"/>
          </rPr>
          <t xml:space="preserve">
</t>
        </r>
        <r>
          <rPr>
            <sz val="10"/>
            <color rgb="FF000000"/>
            <rFont val="Tahoma"/>
            <family val="2"/>
          </rPr>
          <t xml:space="preserve">$0.19 per dose, given every 6months gives per year cost of $0.38 - UNICEF
</t>
        </r>
        <r>
          <rPr>
            <sz val="10"/>
            <color rgb="FF000000"/>
            <rFont val="Tahoma"/>
            <family val="2"/>
          </rPr>
          <t xml:space="preserve">
</t>
        </r>
        <r>
          <rPr>
            <sz val="10"/>
            <color rgb="FF000000"/>
            <rFont val="Tahoma"/>
            <family val="2"/>
          </rPr>
          <t>$0.45 per child per year - BHCPF costing</t>
        </r>
      </text>
    </comment>
    <comment ref="B32" authorId="0" shapeId="0" xr:uid="{00000000-0006-0000-0800-000038000000}">
      <text>
        <r>
          <rPr>
            <b/>
            <sz val="10"/>
            <color rgb="FF000000"/>
            <rFont val="Tahoma"/>
            <family val="2"/>
          </rPr>
          <t>Adesoji Ologun:</t>
        </r>
        <r>
          <rPr>
            <sz val="10"/>
            <color rgb="FF000000"/>
            <rFont val="Tahoma"/>
            <family val="2"/>
          </rPr>
          <t xml:space="preserve">
</t>
        </r>
        <r>
          <rPr>
            <sz val="10"/>
            <color rgb="FF000000"/>
            <rFont val="Tahoma"/>
            <family val="2"/>
          </rPr>
          <t>MICS 5</t>
        </r>
      </text>
    </comment>
    <comment ref="D32" authorId="0" shapeId="0" xr:uid="{00000000-0006-0000-0800-000039000000}">
      <text>
        <r>
          <rPr>
            <b/>
            <sz val="10"/>
            <color rgb="FF000000"/>
            <rFont val="Tahoma"/>
            <family val="2"/>
          </rPr>
          <t>Adesoji Ologun:</t>
        </r>
        <r>
          <rPr>
            <sz val="10"/>
            <color rgb="FF000000"/>
            <rFont val="Tahoma"/>
            <family val="2"/>
          </rPr>
          <t xml:space="preserve">
</t>
        </r>
        <r>
          <rPr>
            <b/>
            <sz val="10"/>
            <color rgb="FF000000"/>
            <rFont val="Arial"/>
            <family val="2"/>
          </rPr>
          <t>Source</t>
        </r>
        <r>
          <rPr>
            <sz val="10"/>
            <color rgb="FF000000"/>
            <rFont val="Arial"/>
            <family val="2"/>
          </rPr>
          <t xml:space="preserve"> - Feed the future Nigeria Livelyhood project - CRS. School delivery of Handwashing intervention.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t>
        </r>
        <r>
          <rPr>
            <sz val="10"/>
            <color rgb="FF000000"/>
            <rFont val="Arial"/>
            <family val="2"/>
          </rPr>
          <t xml:space="preserve">
</t>
        </r>
        <r>
          <rPr>
            <b/>
            <sz val="10"/>
            <color rgb="FF000000"/>
            <rFont val="Arial"/>
            <family val="2"/>
          </rPr>
          <t xml:space="preserve">Cost Elements - </t>
        </r>
        <r>
          <rPr>
            <sz val="10"/>
            <color rgb="FF000000"/>
            <rFont val="Arial"/>
            <family val="2"/>
          </rPr>
          <t xml:space="preserve">Trainings of case workers, trainingof  WASH-friendly schools, roll out WFS approach , school survey,  monitoring and supervision, Develoment of key messages, Programme personel cost, 
</t>
        </r>
        <r>
          <rPr>
            <sz val="10"/>
            <color rgb="FF000000"/>
            <rFont val="Tahoma"/>
            <family val="2"/>
          </rPr>
          <t xml:space="preserve">
</t>
        </r>
        <r>
          <rPr>
            <sz val="10"/>
            <color rgb="FF000000"/>
            <rFont val="Tahoma"/>
            <family val="2"/>
          </rPr>
          <t xml:space="preserve">Note: There is a moderate to hign uncertainty around the estimates of the WASH cost. The challenge is usually the denominator - Number of beneficiaries. This greatly influence the estimate of unit cost. </t>
        </r>
      </text>
    </comment>
    <comment ref="B33" authorId="0" shapeId="0" xr:uid="{00000000-0006-0000-0800-00003A000000}">
      <text>
        <r>
          <rPr>
            <b/>
            <sz val="10"/>
            <color rgb="FF000000"/>
            <rFont val="Tahoma"/>
            <family val="2"/>
          </rPr>
          <t>Adesoji Ologun:</t>
        </r>
        <r>
          <rPr>
            <sz val="10"/>
            <color rgb="FF000000"/>
            <rFont val="Tahoma"/>
            <family val="2"/>
          </rPr>
          <t xml:space="preserve">
</t>
        </r>
        <r>
          <rPr>
            <sz val="10"/>
            <color rgb="FF000000"/>
            <rFont val="Tahoma"/>
            <family val="2"/>
          </rPr>
          <t xml:space="preserve">Source - MICS5
</t>
        </r>
        <r>
          <rPr>
            <sz val="10"/>
            <color rgb="FF000000"/>
            <rFont val="+mn-lt"/>
            <charset val="1"/>
          </rPr>
          <t xml:space="preserve">
</t>
        </r>
        <r>
          <rPr>
            <sz val="10"/>
            <color rgb="FF000000"/>
            <rFont val="+mn-lt"/>
            <charset val="1"/>
          </rPr>
          <t xml:space="preserve">WHO data observatory puts it at 33%. 
</t>
        </r>
        <r>
          <rPr>
            <sz val="10"/>
            <color rgb="FF000000"/>
            <rFont val="+mn-lt"/>
            <charset val="1"/>
          </rPr>
          <t xml:space="preserve">Definition of Indicator -
</t>
        </r>
        <r>
          <rPr>
            <sz val="10"/>
            <color rgb="FF000000"/>
            <rFont val="+mn-lt"/>
            <charset val="1"/>
          </rPr>
          <t xml:space="preserve">The percentage of population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toilets connected to piped sewer systems, septic tanks or pit latrines; pit latrines with slabs (including ventilated pit latrines), and composting toilets. 
</t>
        </r>
        <r>
          <rPr>
            <sz val="10"/>
            <color rgb="FF000000"/>
            <rFont val="+mn-lt"/>
            <charset val="1"/>
          </rPr>
          <t xml:space="preserve">
</t>
        </r>
        <r>
          <rPr>
            <sz val="10"/>
            <color rgb="FF000000"/>
            <rFont val="Arial"/>
            <family val="2"/>
          </rPr>
          <t>http://apps.who.int/gho/data/view.main.SDG62v?lang=en</t>
        </r>
        <r>
          <rPr>
            <sz val="10"/>
            <color rgb="FF000000"/>
            <rFont val="+mn-lt"/>
            <charset val="1"/>
          </rPr>
          <t xml:space="preserve">
</t>
        </r>
        <r>
          <rPr>
            <sz val="10"/>
            <color rgb="FF000000"/>
            <rFont val="+mn-lt"/>
            <charset val="1"/>
          </rPr>
          <t xml:space="preserve">
</t>
        </r>
        <r>
          <rPr>
            <sz val="10"/>
            <color rgb="FF000000"/>
            <rFont val="+mn-lt"/>
            <charset val="1"/>
          </rPr>
          <t xml:space="preserve">It seems this covers both Hygenic disposal and improved sanitation
</t>
        </r>
        <r>
          <rPr>
            <sz val="10"/>
            <color rgb="FF000000"/>
            <rFont val="+mn-lt"/>
            <charset val="1"/>
          </rPr>
          <t xml:space="preserve">
</t>
        </r>
      </text>
    </comment>
    <comment ref="B34" authorId="0" shapeId="0" xr:uid="{00000000-0006-0000-0800-00003B000000}">
      <text>
        <r>
          <rPr>
            <b/>
            <sz val="10"/>
            <color rgb="FF000000"/>
            <rFont val="Tahoma"/>
            <family val="2"/>
          </rPr>
          <t>Adesoji Ologun:</t>
        </r>
        <r>
          <rPr>
            <sz val="10"/>
            <color rgb="FF000000"/>
            <rFont val="Tahoma"/>
            <family val="2"/>
          </rPr>
          <t xml:space="preserve">
</t>
        </r>
        <r>
          <rPr>
            <sz val="10"/>
            <color rgb="FF000000"/>
            <rFont val="Tahoma"/>
            <family val="2"/>
          </rPr>
          <t xml:space="preserve">MICS 5
</t>
        </r>
        <r>
          <rPr>
            <sz val="10"/>
            <color rgb="FF000000"/>
            <rFont val="Tahoma"/>
            <family val="2"/>
          </rPr>
          <t xml:space="preserve">
</t>
        </r>
        <r>
          <rPr>
            <sz val="10"/>
            <color rgb="FF000000"/>
            <rFont val="Tahoma"/>
            <family val="2"/>
          </rPr>
          <t xml:space="preserve">WHO data observatory puts it at 33%. Definition of Indicator -
</t>
        </r>
        <r>
          <rPr>
            <sz val="10"/>
            <color rgb="FF000000"/>
            <rFont val="Tahoma"/>
            <family val="2"/>
          </rPr>
          <t xml:space="preserve">
</t>
        </r>
        <r>
          <rPr>
            <sz val="10"/>
            <color rgb="FF000000"/>
            <rFont val="Tahoma"/>
            <family val="2"/>
          </rPr>
          <t>T</t>
        </r>
        <r>
          <rPr>
            <sz val="10"/>
            <color rgb="FF000000"/>
            <rFont val="Arial"/>
            <family val="2"/>
          </rPr>
          <t>he percentage of population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toilets connected to piped sewer systems, septic tanks or pit latrines; pit latrines with slabs (including ventilated pit latrines), and composting toilets.</t>
        </r>
        <r>
          <rPr>
            <sz val="10"/>
            <color rgb="FF000000"/>
            <rFont val="Tahoma"/>
            <family val="2"/>
          </rPr>
          <t xml:space="preserve">
</t>
        </r>
      </text>
    </comment>
    <comment ref="D34" authorId="0" shapeId="0" xr:uid="{00000000-0006-0000-0800-00003C000000}">
      <text>
        <r>
          <rPr>
            <b/>
            <sz val="10"/>
            <color rgb="FF000000"/>
            <rFont val="Tahoma"/>
            <family val="2"/>
          </rPr>
          <t>Adesoji Ologun:</t>
        </r>
        <r>
          <rPr>
            <sz val="10"/>
            <color rgb="FF000000"/>
            <rFont val="Tahoma"/>
            <family val="2"/>
          </rPr>
          <t xml:space="preserve">
</t>
        </r>
        <r>
          <rPr>
            <sz val="10"/>
            <color rgb="FF000000"/>
            <rFont val="Tahoma"/>
            <family val="2"/>
          </rPr>
          <t>See note on WASH above</t>
        </r>
      </text>
    </comment>
    <comment ref="B35" authorId="0" shapeId="0" xr:uid="{00000000-0006-0000-0800-00003D000000}">
      <text>
        <r>
          <rPr>
            <b/>
            <sz val="10"/>
            <color rgb="FF000000"/>
            <rFont val="Tahoma"/>
            <family val="2"/>
          </rPr>
          <t>Adesoji Ologun:</t>
        </r>
        <r>
          <rPr>
            <sz val="10"/>
            <color rgb="FF000000"/>
            <rFont val="Tahoma"/>
            <family val="2"/>
          </rPr>
          <t xml:space="preserve">
</t>
        </r>
        <r>
          <rPr>
            <sz val="10"/>
            <color rgb="FF000000"/>
            <rFont val="Tahoma"/>
            <family val="2"/>
          </rPr>
          <t xml:space="preserve">Source - MICS5
</t>
        </r>
        <r>
          <rPr>
            <sz val="10"/>
            <color rgb="FF000000"/>
            <rFont val="Tahoma"/>
            <family val="2"/>
          </rPr>
          <t xml:space="preserve">
</t>
        </r>
        <r>
          <rPr>
            <sz val="10"/>
            <color rgb="FF000000"/>
            <rFont val="Tahoma"/>
            <family val="2"/>
          </rPr>
          <t xml:space="preserve">WHO Global health Observatory database - 67%
</t>
        </r>
        <r>
          <rPr>
            <sz val="10"/>
            <color rgb="FF000000"/>
            <rFont val="Tahoma"/>
            <family val="2"/>
          </rPr>
          <t xml:space="preserve">
</t>
        </r>
        <r>
          <rPr>
            <sz val="10"/>
            <color rgb="FF000000"/>
            <rFont val="Tahoma"/>
            <family val="2"/>
          </rPr>
          <t xml:space="preserve">Definition of Indicator - </t>
        </r>
        <r>
          <rPr>
            <sz val="10"/>
            <color rgb="FF000000"/>
            <rFont val="Arial"/>
            <family val="2"/>
          </rPr>
          <t>The percentage of population using at least basic drinking water services, that is, the population that drinks water from an improved source, provided collection time is not more than 30 minutes for a round trip. This indicator encompasses both people using basic drinking water services as well as those using safely managed drinking water services. Improved water sources include piped water, boreholes or tubewells, protected dug wells, protected springs, and packaged or delivered water.</t>
        </r>
        <r>
          <rPr>
            <sz val="10"/>
            <color rgb="FF000000"/>
            <rFont val="Tahoma"/>
            <family val="2"/>
          </rPr>
          <t xml:space="preserve">
</t>
        </r>
        <r>
          <rPr>
            <sz val="10"/>
            <color rgb="FF000000"/>
            <rFont val="Tahoma"/>
            <family val="2"/>
          </rPr>
          <t xml:space="preserve">
</t>
        </r>
        <r>
          <rPr>
            <sz val="10"/>
            <color rgb="FF000000"/>
            <rFont val="Arial"/>
            <family val="2"/>
          </rPr>
          <t>http://apps.who.int/gho/data/view.main.SDG61v?lang=en</t>
        </r>
      </text>
    </comment>
    <comment ref="D35" authorId="0" shapeId="0" xr:uid="{00000000-0006-0000-0800-00003E000000}">
      <text>
        <r>
          <rPr>
            <b/>
            <sz val="10"/>
            <color rgb="FF000000"/>
            <rFont val="Tahoma"/>
            <family val="2"/>
          </rPr>
          <t>Adesoji Ologun:</t>
        </r>
        <r>
          <rPr>
            <sz val="10"/>
            <color rgb="FF000000"/>
            <rFont val="Tahoma"/>
            <family val="2"/>
          </rPr>
          <t xml:space="preserve">
</t>
        </r>
        <r>
          <rPr>
            <sz val="10"/>
            <color rgb="FF000000"/>
            <rFont val="Tahoma"/>
            <family val="2"/>
          </rPr>
          <t>See note on WASH above</t>
        </r>
      </text>
    </comment>
    <comment ref="B36" authorId="0" shapeId="0" xr:uid="{00000000-0006-0000-0800-00003F000000}">
      <text>
        <r>
          <rPr>
            <b/>
            <sz val="10"/>
            <color rgb="FF000000"/>
            <rFont val="Tahoma"/>
            <family val="2"/>
          </rPr>
          <t>Adesoji Ologun:</t>
        </r>
        <r>
          <rPr>
            <sz val="10"/>
            <color rgb="FF000000"/>
            <rFont val="Tahoma"/>
            <family val="2"/>
          </rPr>
          <t xml:space="preserve">
</t>
        </r>
        <r>
          <rPr>
            <sz val="10"/>
            <color rgb="FF000000"/>
            <rFont val="Tahoma"/>
            <family val="2"/>
          </rPr>
          <t xml:space="preserve">MICS5
</t>
        </r>
      </text>
    </comment>
    <comment ref="D36" authorId="0" shapeId="0" xr:uid="{00000000-0006-0000-0800-000040000000}">
      <text>
        <r>
          <rPr>
            <b/>
            <sz val="10"/>
            <color rgb="FF000000"/>
            <rFont val="Tahoma"/>
            <family val="2"/>
          </rPr>
          <t xml:space="preserve">Adesoji Ologun:
</t>
        </r>
        <r>
          <rPr>
            <b/>
            <sz val="10"/>
            <color rgb="FF000000"/>
            <rFont val="Tahoma"/>
            <family val="2"/>
          </rPr>
          <t xml:space="preserve">Cost per person who gained access to new water point
</t>
        </r>
        <r>
          <rPr>
            <sz val="10"/>
            <color rgb="FF000000"/>
            <rFont val="Tahoma"/>
            <family val="2"/>
          </rPr>
          <t xml:space="preserve">
</t>
        </r>
        <r>
          <rPr>
            <sz val="10"/>
            <color rgb="FF000000"/>
            <rFont val="Tahoma"/>
            <family val="2"/>
          </rPr>
          <t xml:space="preserve">Cost per new public water point - Cost of direct hardware ($5,264) - drilling, installing pumps and pipe systems, cost of equipment and labour, one off detailed design studies and construction supervision cost. Software cost ($58) - community mobilisation, hygiene promotion. Training of service providers.  Indirect  programme support ($2,667) - Cost of planning and implementing programme - staff salaries, consultants, program M&amp;E, training of technicians                                                             Cost per person who gained access to  new public water point (progrmmatic cost) - Hardware cost and software cost ($19), Indirect programme support ($12) 
</t>
        </r>
        <r>
          <rPr>
            <sz val="10"/>
            <color rgb="FF000000"/>
            <rFont val="Tahoma"/>
            <family val="2"/>
          </rPr>
          <t xml:space="preserve">
</t>
        </r>
        <r>
          <rPr>
            <sz val="10"/>
            <color rgb="FF000000"/>
            <rFont val="Tahoma"/>
            <family val="2"/>
          </rPr>
          <t xml:space="preserve">Source: OPM 2015 synthesis report of  VFM WASH studies.
</t>
        </r>
        <r>
          <rPr>
            <sz val="10"/>
            <color rgb="FF000000"/>
            <rFont val="Tahoma"/>
            <family val="2"/>
          </rPr>
          <t xml:space="preserve">
</t>
        </r>
        <r>
          <rPr>
            <sz val="10"/>
            <color rgb="FF000000"/>
            <rFont val="Tahoma"/>
            <family val="2"/>
          </rPr>
          <t xml:space="preserve"> </t>
        </r>
        <r>
          <rPr>
            <sz val="10"/>
            <color rgb="FF000000"/>
            <rFont val="Arial"/>
            <family val="2"/>
          </rPr>
          <t>http://vfm-wash.org/wp-content/uploads/2015/08/OPM-2015-Synthesis-report-of-6-VFM-WASH-studies.pdf</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B37" authorId="0" shapeId="0" xr:uid="{00000000-0006-0000-0800-000041000000}">
      <text>
        <r>
          <rPr>
            <b/>
            <sz val="10"/>
            <color rgb="FF000000"/>
            <rFont val="Tahoma"/>
            <family val="2"/>
          </rPr>
          <t>Adesoji Ologun:</t>
        </r>
        <r>
          <rPr>
            <sz val="10"/>
            <color rgb="FF000000"/>
            <rFont val="Tahoma"/>
            <family val="2"/>
          </rPr>
          <t xml:space="preserve">
</t>
        </r>
        <r>
          <rPr>
            <sz val="10"/>
            <color rgb="FF000000"/>
            <rFont val="Tahoma"/>
            <family val="2"/>
          </rPr>
          <t xml:space="preserve">NDHS 2018 - 22.8%
</t>
        </r>
        <r>
          <rPr>
            <sz val="10"/>
            <color rgb="FF000000"/>
            <rFont val="Tahoma"/>
            <family val="2"/>
          </rPr>
          <t xml:space="preserve">
</t>
        </r>
        <r>
          <rPr>
            <sz val="10"/>
            <color rgb="FF000000"/>
            <rFont val="Tahoma"/>
            <family val="2"/>
          </rPr>
          <t xml:space="preserve">MICS5 - 19%
</t>
        </r>
        <r>
          <rPr>
            <sz val="10"/>
            <color rgb="FF000000"/>
            <rFont val="Tahoma"/>
            <family val="2"/>
          </rPr>
          <t xml:space="preserve">
</t>
        </r>
      </text>
    </comment>
    <comment ref="D37" authorId="1" shapeId="0" xr:uid="{00000000-0006-0000-0800-000042000000}">
      <text>
        <r>
          <rPr>
            <b/>
            <sz val="9"/>
            <color rgb="FF000000"/>
            <rFont val="Tahoma"/>
            <family val="2"/>
          </rPr>
          <t>Nick Scott:</t>
        </r>
        <r>
          <rPr>
            <sz val="9"/>
            <color rgb="FF000000"/>
            <rFont val="Tahoma"/>
            <family val="2"/>
          </rPr>
          <t xml:space="preserve">
</t>
        </r>
        <r>
          <rPr>
            <sz val="9"/>
            <color rgb="FF000000"/>
            <rFont val="Tahoma"/>
            <family val="2"/>
          </rPr>
          <t xml:space="preserve">The cost per child per year can be estimated as 
</t>
        </r>
        <r>
          <rPr>
            <sz val="9"/>
            <color rgb="FF000000"/>
            <rFont val="Tahoma"/>
            <family val="2"/>
          </rPr>
          <t xml:space="preserve">= (cost per treatment) * (annual diarrhoea incidence)
</t>
        </r>
        <r>
          <rPr>
            <sz val="9"/>
            <color rgb="FF000000"/>
            <rFont val="Tahoma"/>
            <family val="2"/>
          </rPr>
          <t xml:space="preserve">
</t>
        </r>
        <r>
          <rPr>
            <sz val="9"/>
            <color rgb="FF000000"/>
            <rFont val="Tahoma"/>
            <family val="2"/>
          </rPr>
          <t xml:space="preserve">Diarrhoea incidence is the average in children under 5.  See user guide for further information
</t>
        </r>
        <r>
          <rPr>
            <sz val="9"/>
            <color rgb="FF000000"/>
            <rFont val="Tahoma"/>
            <family val="2"/>
          </rPr>
          <t xml:space="preserve">
</t>
        </r>
        <r>
          <rPr>
            <sz val="9"/>
            <color rgb="FF000000"/>
            <rFont val="Tahoma"/>
            <family val="2"/>
          </rPr>
          <t xml:space="preserve">Estimate is per episode of Diarrhoea *3.3 (Annual Incidence)
</t>
        </r>
        <r>
          <rPr>
            <sz val="9"/>
            <color rgb="FF000000"/>
            <rFont val="Tahoma"/>
            <family val="2"/>
          </rPr>
          <t xml:space="preserve">
</t>
        </r>
        <r>
          <rPr>
            <sz val="9"/>
            <color rgb="FF000000"/>
            <rFont val="Arial"/>
            <family val="2"/>
          </rPr>
          <t>Source of Annual incidence - Talbert A, Thuo N, Karisa J, Chesaro C, Ohuma E, Ignas J, et al. Diarrhoea complicating severe acute malnutrition in kenyan children: a prospective descriptive study of risk factors and outcome. </t>
        </r>
        <r>
          <rPr>
            <i/>
            <sz val="9"/>
            <color rgb="FF000000"/>
            <rFont val="Arial"/>
            <family val="2"/>
          </rPr>
          <t>PLoS One</t>
        </r>
        <r>
          <rPr>
            <sz val="9"/>
            <color rgb="FF000000"/>
            <rFont val="Arial"/>
            <family val="2"/>
          </rPr>
          <t xml:space="preserve">. 2012. 7(6):e38321. [Medline].
</t>
        </r>
        <r>
          <rPr>
            <sz val="9"/>
            <color rgb="FF000000"/>
            <rFont val="Arial"/>
            <family val="2"/>
          </rPr>
          <t xml:space="preserve">And BHCPF estimate 
</t>
        </r>
        <r>
          <rPr>
            <sz val="9"/>
            <color rgb="FF000000"/>
            <rFont val="Arial"/>
            <family val="2"/>
          </rPr>
          <t xml:space="preserve">
</t>
        </r>
        <r>
          <rPr>
            <b/>
            <sz val="10"/>
            <color rgb="FF000000"/>
            <rFont val="Arial"/>
            <family val="2"/>
          </rPr>
          <t>Source</t>
        </r>
        <r>
          <rPr>
            <sz val="10"/>
            <color rgb="FF000000"/>
            <rFont val="Arial"/>
            <family val="2"/>
          </rPr>
          <t xml:space="preserve"> - Basic Health Care Provision Fund Costing by WorldBank
</t>
        </r>
        <r>
          <rPr>
            <sz val="10"/>
            <color rgb="FF000000"/>
            <rFont val="Arial"/>
            <family val="2"/>
          </rPr>
          <t xml:space="preserve">
</t>
        </r>
        <r>
          <rPr>
            <b/>
            <sz val="10"/>
            <color rgb="FF000000"/>
            <rFont val="Arial"/>
            <family val="2"/>
          </rPr>
          <t xml:space="preserve">Cost Perspective </t>
        </r>
        <r>
          <rPr>
            <sz val="10"/>
            <color rgb="FF000000"/>
            <rFont val="Arial"/>
            <family val="2"/>
          </rPr>
          <t xml:space="preserve">- Programme perspective. Originally from Health facility perspective, but marked up by 10% to reflect programme cost.
</t>
        </r>
        <r>
          <rPr>
            <sz val="10"/>
            <color rgb="FF000000"/>
            <rFont val="Arial"/>
            <family val="2"/>
          </rPr>
          <t xml:space="preserve">
</t>
        </r>
        <r>
          <rPr>
            <b/>
            <sz val="10"/>
            <color rgb="FF000000"/>
            <rFont val="Arial"/>
            <family val="2"/>
          </rPr>
          <t xml:space="preserve">Cost Elements </t>
        </r>
        <r>
          <rPr>
            <sz val="10"/>
            <color rgb="FF000000"/>
            <rFont val="Arial"/>
            <family val="2"/>
          </rPr>
          <t xml:space="preserve">- Drugs and consumables, personel/staff cost, hospital overhead and 10% mark-up for programme cost. </t>
        </r>
        <r>
          <rPr>
            <sz val="10"/>
            <color rgb="FF000000"/>
            <rFont val="Arial"/>
            <family val="2"/>
          </rPr>
          <t xml:space="preserve">
</t>
        </r>
      </text>
    </comment>
    <comment ref="B38" authorId="0" shapeId="0" xr:uid="{00000000-0006-0000-0800-000043000000}">
      <text>
        <r>
          <rPr>
            <b/>
            <sz val="10"/>
            <color rgb="FF000000"/>
            <rFont val="Tahoma"/>
            <family val="2"/>
          </rPr>
          <t>Adesoji Ologun:</t>
        </r>
        <r>
          <rPr>
            <sz val="10"/>
            <color rgb="FF000000"/>
            <rFont val="Tahoma"/>
            <family val="2"/>
          </rPr>
          <t xml:space="preserve">
</t>
        </r>
        <r>
          <rPr>
            <sz val="10"/>
            <color rgb="FF000000"/>
            <rFont val="Tahoma"/>
            <family val="2"/>
          </rPr>
          <t>Source - NDHS 2018</t>
        </r>
      </text>
    </comment>
    <comment ref="D38" authorId="0" shapeId="0" xr:uid="{00000000-0006-0000-0800-000044000000}">
      <text>
        <r>
          <rPr>
            <b/>
            <sz val="10"/>
            <color rgb="FF000000"/>
            <rFont val="Tahoma"/>
            <family val="2"/>
          </rPr>
          <t>Adesoji Ologun:</t>
        </r>
        <r>
          <rPr>
            <sz val="10"/>
            <color rgb="FF000000"/>
            <rFont val="Tahoma"/>
            <family val="2"/>
          </rPr>
          <t xml:space="preserve">
</t>
        </r>
        <r>
          <rPr>
            <sz val="10"/>
            <color rgb="FF000000"/>
            <rFont val="+mn-lt"/>
            <charset val="1"/>
          </rPr>
          <t xml:space="preserve">The cost per child per year can be estimated as 
</t>
        </r>
        <r>
          <rPr>
            <sz val="10"/>
            <color rgb="FF000000"/>
            <rFont val="+mn-lt"/>
            <charset val="1"/>
          </rPr>
          <t xml:space="preserve">= (cost per treatment) * (annual diarrhoea incidence)
</t>
        </r>
        <r>
          <rPr>
            <sz val="10"/>
            <color rgb="FF000000"/>
            <rFont val="+mn-lt"/>
            <charset val="1"/>
          </rPr>
          <t xml:space="preserve">Diarrhoea incidence is the average in children under 5.  See user guide for further information
</t>
        </r>
        <r>
          <rPr>
            <sz val="10"/>
            <color rgb="FF000000"/>
            <rFont val="+mn-lt"/>
            <charset val="1"/>
          </rPr>
          <t xml:space="preserve">Estimate is per episode of Diarrhoea *3.3 (Annual Incidence)
</t>
        </r>
        <r>
          <rPr>
            <sz val="10"/>
            <color rgb="FF000000"/>
            <rFont val="+mn-lt"/>
            <charset val="1"/>
          </rPr>
          <t>Source of Annual incidence - Talbert A, Thuo N, Karisa J, Chesaro C, Ohuma E, Ignas J, et al. Diarrhoea complicating severe acute malnutrition in kenyan children: a prospective descriptive study of risk factors and outcome. </t>
        </r>
        <r>
          <rPr>
            <i/>
            <sz val="10"/>
            <color rgb="FF000000"/>
            <rFont val="+mn-lt"/>
            <charset val="1"/>
          </rPr>
          <t>PLoS One</t>
        </r>
        <r>
          <rPr>
            <sz val="10"/>
            <color rgb="FF000000"/>
            <rFont val="+mn-lt"/>
            <charset val="1"/>
          </rPr>
          <t xml:space="preserve">. 2012. 7(6):e38321. [Medline].
</t>
        </r>
        <r>
          <rPr>
            <sz val="10"/>
            <color rgb="FF000000"/>
            <rFont val="+mn-lt"/>
            <charset val="1"/>
          </rPr>
          <t xml:space="preserve">And BHCPF estimate 
</t>
        </r>
        <r>
          <rPr>
            <sz val="10"/>
            <color rgb="FF000000"/>
            <rFont val="+mn-lt"/>
            <charset val="1"/>
          </rPr>
          <t xml:space="preserve">
</t>
        </r>
        <r>
          <rPr>
            <b/>
            <sz val="10"/>
            <color rgb="FF000000"/>
            <rFont val="Arial"/>
            <family val="2"/>
          </rPr>
          <t>Source</t>
        </r>
        <r>
          <rPr>
            <sz val="10"/>
            <color rgb="FF000000"/>
            <rFont val="Arial"/>
            <family val="2"/>
          </rPr>
          <t xml:space="preserve"> - Basic Health Care Provision Fund Costing by WorldBank
</t>
        </r>
        <r>
          <rPr>
            <sz val="10"/>
            <color rgb="FF000000"/>
            <rFont val="Arial"/>
            <family val="2"/>
          </rPr>
          <t xml:space="preserve">
</t>
        </r>
        <r>
          <rPr>
            <b/>
            <sz val="10"/>
            <color rgb="FF000000"/>
            <rFont val="Arial"/>
            <family val="2"/>
          </rPr>
          <t xml:space="preserve">Cost Perspective </t>
        </r>
        <r>
          <rPr>
            <sz val="10"/>
            <color rgb="FF000000"/>
            <rFont val="Arial"/>
            <family val="2"/>
          </rPr>
          <t>- Programme perspective. Originally from Health facility perspective, but marked up by 10% to reflect programme cost.</t>
        </r>
        <r>
          <rPr>
            <sz val="10"/>
            <color rgb="FF000000"/>
            <rFont val="Arial"/>
            <family val="2"/>
          </rPr>
          <t xml:space="preserve">
</t>
        </r>
        <r>
          <rPr>
            <b/>
            <sz val="10"/>
            <color rgb="FF000000"/>
            <rFont val="Arial"/>
            <family val="2"/>
          </rPr>
          <t xml:space="preserve">
</t>
        </r>
        <r>
          <rPr>
            <b/>
            <sz val="10"/>
            <color rgb="FF000000"/>
            <rFont val="Arial"/>
            <family val="2"/>
          </rPr>
          <t xml:space="preserve">Cost Elements </t>
        </r>
        <r>
          <rPr>
            <sz val="10"/>
            <color rgb="FF000000"/>
            <rFont val="Arial"/>
            <family val="2"/>
          </rPr>
          <t xml:space="preserve">- Drugs and consumables, personel/staff cost, hospital overhead and 10% mark-up for programme cost. </t>
        </r>
        <r>
          <rPr>
            <sz val="10"/>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B1" authorId="0" shapeId="0" xr:uid="{00000000-0006-0000-0A00-000001000000}">
      <text>
        <r>
          <rPr>
            <b/>
            <sz val="10"/>
            <color indexed="81"/>
            <rFont val="Calibri"/>
            <family val="2"/>
          </rPr>
          <t>Sam:</t>
        </r>
        <r>
          <rPr>
            <sz val="10"/>
            <color indexed="81"/>
            <rFont val="Calibri"/>
            <family val="2"/>
          </rPr>
          <t xml:space="preserve">
When one intervention cannot exceed 1-coverage of another</t>
        </r>
      </text>
    </comment>
    <comment ref="C1" authorId="0" shapeId="0" xr:uid="{00000000-0006-0000-0A00-000002000000}">
      <text>
        <r>
          <rPr>
            <b/>
            <sz val="10"/>
            <color indexed="81"/>
            <rFont val="Calibri"/>
            <family val="2"/>
          </rPr>
          <t>Sam:</t>
        </r>
        <r>
          <rPr>
            <sz val="10"/>
            <color indexed="81"/>
            <rFont val="Calibri"/>
            <family val="2"/>
          </rPr>
          <t xml:space="preserve">
When one program cannot exceed coverage of another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Sam</author>
  </authors>
  <commentList>
    <comment ref="A1" authorId="0" shapeId="0" xr:uid="{00000000-0006-0000-0F00-000001000000}">
      <text>
        <r>
          <rPr>
            <b/>
            <sz val="10"/>
            <color rgb="FF000000"/>
            <rFont val="Tahoma"/>
            <family val="2"/>
          </rPr>
          <t>Sam:</t>
        </r>
        <r>
          <rPr>
            <sz val="10"/>
            <color rgb="FF000000"/>
            <rFont val="Tahoma"/>
            <family val="2"/>
          </rPr>
          <t xml:space="preserve">
</t>
        </r>
        <r>
          <rPr>
            <sz val="10"/>
            <color rgb="FF000000"/>
            <rFont val="Tahoma"/>
            <family val="2"/>
          </rPr>
          <t>Don't really want this here, but the proportional cost is linked -- can think of better place?</t>
        </r>
      </text>
    </comment>
  </commentList>
</comments>
</file>

<file path=xl/sharedStrings.xml><?xml version="1.0" encoding="utf-8"?>
<sst xmlns="http://schemas.openxmlformats.org/spreadsheetml/2006/main" count="387" uniqueCount="212">
  <si>
    <t>year</t>
  </si>
  <si>
    <t>&lt;1 month</t>
  </si>
  <si>
    <t>1-5 months</t>
  </si>
  <si>
    <t>6-11 months</t>
  </si>
  <si>
    <t>12-23 months</t>
  </si>
  <si>
    <t>24-59 months</t>
  </si>
  <si>
    <t>Status</t>
  </si>
  <si>
    <t>Neonatal sepsis</t>
  </si>
  <si>
    <t>Neonatal pneumonia</t>
  </si>
  <si>
    <t>Pre-term SGA</t>
  </si>
  <si>
    <t>Neonatal asphyxia</t>
  </si>
  <si>
    <t>Pre-term AGA</t>
  </si>
  <si>
    <t>Term SGA</t>
  </si>
  <si>
    <t>Neonatal prematurity</t>
  </si>
  <si>
    <t>Neonatal tetanus</t>
  </si>
  <si>
    <t>Neonatal other</t>
  </si>
  <si>
    <t>Pneumonia</t>
  </si>
  <si>
    <t>Meningitis</t>
  </si>
  <si>
    <t>Measles</t>
  </si>
  <si>
    <t>Malaria</t>
  </si>
  <si>
    <t>Pertussis</t>
  </si>
  <si>
    <t>AIDS</t>
  </si>
  <si>
    <t>Injury</t>
  </si>
  <si>
    <t>Other</t>
  </si>
  <si>
    <t>Breastfeeding</t>
  </si>
  <si>
    <t>Condition</t>
  </si>
  <si>
    <t>Term AGA</t>
  </si>
  <si>
    <t>Neonatal congenital anomalies</t>
  </si>
  <si>
    <t>Vitamin A supplementation</t>
  </si>
  <si>
    <t>Balanced energy-protein supplementation</t>
  </si>
  <si>
    <t>Food</t>
  </si>
  <si>
    <t>Children</t>
  </si>
  <si>
    <t>Pregnant women</t>
  </si>
  <si>
    <t>Broad population group</t>
  </si>
  <si>
    <t>Long-lasting insecticide-treated bednets</t>
  </si>
  <si>
    <t>General population</t>
  </si>
  <si>
    <t>non-pregnant WRA</t>
  </si>
  <si>
    <t>Non-pregnant WRA</t>
  </si>
  <si>
    <t>Antepartum haemorrhage</t>
  </si>
  <si>
    <t>Intrapartum haemorrhage</t>
  </si>
  <si>
    <t>Postpartum haemorrhage</t>
  </si>
  <si>
    <t>Hypertensive disorders</t>
  </si>
  <si>
    <t>Sepsis</t>
  </si>
  <si>
    <t>Abortion</t>
  </si>
  <si>
    <t>Embolism</t>
  </si>
  <si>
    <t>Other direct causes</t>
  </si>
  <si>
    <t>Indirect causes</t>
  </si>
  <si>
    <t>Iron and iodine fortification of salt</t>
  </si>
  <si>
    <t>Population data</t>
  </si>
  <si>
    <t>WRA: 15-19 years</t>
  </si>
  <si>
    <t>WRA: 20-29 years</t>
  </si>
  <si>
    <t>WRA: 30-39 years</t>
  </si>
  <si>
    <t>WRA: 40-49 years</t>
  </si>
  <si>
    <t>PW: 15-19 years</t>
  </si>
  <si>
    <t>PW: 20-29 years</t>
  </si>
  <si>
    <t>PW: 30-39 years</t>
  </si>
  <si>
    <t>PW: 40-49 years</t>
  </si>
  <si>
    <t>IPTp</t>
  </si>
  <si>
    <t>Public provision of complementary foods</t>
  </si>
  <si>
    <t>Multiple micronutrient supplementation</t>
  </si>
  <si>
    <t>Zinc supplementation</t>
  </si>
  <si>
    <t>Cash transfers</t>
  </si>
  <si>
    <t>IFA fortification of wheat flour</t>
  </si>
  <si>
    <t>IFA fortification of maize</t>
  </si>
  <si>
    <t>IFA fortification of rice</t>
  </si>
  <si>
    <t>MAM</t>
  </si>
  <si>
    <t>SAM</t>
  </si>
  <si>
    <t>Treatment of SAM</t>
  </si>
  <si>
    <t>Prevalence of iron deficiency anaemia</t>
  </si>
  <si>
    <t>Program</t>
  </si>
  <si>
    <t>Anaemia</t>
  </si>
  <si>
    <t>Diarrhoea</t>
  </si>
  <si>
    <t>Diarrhoea incidence</t>
  </si>
  <si>
    <t>Neonatal diarrhoea</t>
  </si>
  <si>
    <t>Mortality</t>
  </si>
  <si>
    <t>First birth</t>
  </si>
  <si>
    <t>less than 18 months</t>
  </si>
  <si>
    <t>18-23 months</t>
  </si>
  <si>
    <t>24 months or greater</t>
  </si>
  <si>
    <t>WASH: Improved water source</t>
  </si>
  <si>
    <t>WASH: Piped water</t>
  </si>
  <si>
    <t>WASH: Improved sanitation</t>
  </si>
  <si>
    <t>WASH: Hygenic disposal</t>
  </si>
  <si>
    <t>WASH: Handwashing</t>
  </si>
  <si>
    <t>Oral rehydration salts</t>
  </si>
  <si>
    <t>Zinc for treatment + ORS</t>
  </si>
  <si>
    <t>Calcium supplementation</t>
  </si>
  <si>
    <t>Mg for pre-eclampsia</t>
  </si>
  <si>
    <t>Mg for eclampsia</t>
  </si>
  <si>
    <t>Fraction of pregnancies ending in spontaneous abortion</t>
  </si>
  <si>
    <t>Under 5 mortality (per 1,000 live births)</t>
  </si>
  <si>
    <t>Infant mortality (per 1,000 live births)</t>
  </si>
  <si>
    <t>Neonatal mortality (per 1,000 live births)</t>
  </si>
  <si>
    <t>Stillbirths (per 1,000 total births)</t>
  </si>
  <si>
    <t>Fraction of subsistence farming</t>
  </si>
  <si>
    <t>Fraction eating rice as main staple food</t>
  </si>
  <si>
    <t>Fraction eating wheat as main staple food</t>
  </si>
  <si>
    <t>Fraction eating maize as main staple food</t>
  </si>
  <si>
    <t>Fraction on other staples as main staple food</t>
  </si>
  <si>
    <t>Age distribution of pregnant women</t>
  </si>
  <si>
    <t>Baseline year data</t>
  </si>
  <si>
    <t>Percentage of pregnant women 15-19 years</t>
  </si>
  <si>
    <t>Percentage of pregnant women 20-29 years</t>
  </si>
  <si>
    <t>Percentage of pregnant women 30-39 years</t>
  </si>
  <si>
    <t>Percentage of pregnant women 40-49 years</t>
  </si>
  <si>
    <t>School attendance (percentage of 15-19 year women)</t>
  </si>
  <si>
    <t>Percentage of population food insecure (default poor)</t>
  </si>
  <si>
    <t>Percentage of population at risk of malaria</t>
  </si>
  <si>
    <t>Percentage of pregnant women attending health facility</t>
  </si>
  <si>
    <t>Percentage of children attending health facility</t>
  </si>
  <si>
    <t>Unmet need for family planning</t>
  </si>
  <si>
    <t>Percentage of diarrhea that is severe</t>
  </si>
  <si>
    <t>Number of births</t>
  </si>
  <si>
    <t>Total WRA</t>
  </si>
  <si>
    <t>Wasting (weight-for-height)</t>
  </si>
  <si>
    <t>Stunting (height-for-age)</t>
  </si>
  <si>
    <t>Moderate (HAZ-score between -3 and -2)</t>
  </si>
  <si>
    <t>Normal (HAZ-score &gt; -1)</t>
  </si>
  <si>
    <t>Mild (HAZ-score between -2 and -1)</t>
  </si>
  <si>
    <t>High (HAZ-score between &lt; -3)</t>
  </si>
  <si>
    <t>Normal  (WHZ-score &gt; -1)</t>
  </si>
  <si>
    <t>Mild  (WHZ-score between -2 and -1)</t>
  </si>
  <si>
    <t>MAM   (WHZ-score between -3 and -2)</t>
  </si>
  <si>
    <t>SAM   (WHZ-score &lt; -3)</t>
  </si>
  <si>
    <t>Average episodes per year: &lt;1 month</t>
  </si>
  <si>
    <t>Average episodes per year: 1-5 months</t>
  </si>
  <si>
    <t>Average episodes per year: 6-11 months</t>
  </si>
  <si>
    <t>Average episodes per year: 12-23 months</t>
  </si>
  <si>
    <t>Average episodes per year: 24-59 months</t>
  </si>
  <si>
    <t>Total (must be 100%)</t>
  </si>
  <si>
    <t>Estimated pregnant women</t>
  </si>
  <si>
    <t>Prevalence of anaemia</t>
  </si>
  <si>
    <t>Percentage of anaemia that is iron deficient</t>
  </si>
  <si>
    <t>Birth outcome distribution</t>
  </si>
  <si>
    <t>Other risks</t>
  </si>
  <si>
    <t>Baseline year mortality and risk factors</t>
  </si>
  <si>
    <t>Lipid-based nutrition supplements</t>
  </si>
  <si>
    <t>Micronutrient powders</t>
  </si>
  <si>
    <t>Risk</t>
  </si>
  <si>
    <t>Stunting prevalence (%)</t>
  </si>
  <si>
    <t>Wasting prevalence (%)</t>
  </si>
  <si>
    <t>Anaemia prevalence (%)</t>
  </si>
  <si>
    <t>Prevalence of age-appropriate breastfeeding</t>
  </si>
  <si>
    <t>Children 0-59 months</t>
  </si>
  <si>
    <t>Women of reproductive age</t>
  </si>
  <si>
    <t>Population</t>
  </si>
  <si>
    <t>Children 6-23 months</t>
  </si>
  <si>
    <t>Children 0-5 months</t>
  </si>
  <si>
    <t>Under five (deaths per 1,000 births)</t>
  </si>
  <si>
    <t>Delayed cord clamping</t>
  </si>
  <si>
    <t>IUD</t>
  </si>
  <si>
    <t>Fertility awareness</t>
  </si>
  <si>
    <t>Withdrawal</t>
  </si>
  <si>
    <t>Pill</t>
  </si>
  <si>
    <t>Implant</t>
  </si>
  <si>
    <t>Injectable</t>
  </si>
  <si>
    <t>Female sterilization</t>
  </si>
  <si>
    <t>Male sterilization</t>
  </si>
  <si>
    <t>Condom</t>
  </si>
  <si>
    <t>Proportional Cost</t>
  </si>
  <si>
    <t>Cost</t>
  </si>
  <si>
    <t>Distribution</t>
  </si>
  <si>
    <t>Effectiveness</t>
  </si>
  <si>
    <t>Method</t>
  </si>
  <si>
    <t>Field</t>
  </si>
  <si>
    <t>Data</t>
  </si>
  <si>
    <t>Exclusive</t>
  </si>
  <si>
    <t>Predominant</t>
  </si>
  <si>
    <t>Partial</t>
  </si>
  <si>
    <t>None</t>
  </si>
  <si>
    <t>Maternal (deaths per 1,000 births)</t>
  </si>
  <si>
    <t>Maternal mortality (per 1,000 live births)</t>
  </si>
  <si>
    <t>All</t>
  </si>
  <si>
    <t>IYCF 1</t>
  </si>
  <si>
    <t>Mass media</t>
  </si>
  <si>
    <t>Community</t>
  </si>
  <si>
    <t>Health facility</t>
  </si>
  <si>
    <t>Target population</t>
  </si>
  <si>
    <t>IYCF package</t>
  </si>
  <si>
    <t>Threshold dependency</t>
  </si>
  <si>
    <t>Exclusion dependency</t>
  </si>
  <si>
    <t>Default</t>
  </si>
  <si>
    <t>Extension</t>
  </si>
  <si>
    <t>Management of MAM</t>
  </si>
  <si>
    <t>Community-based</t>
  </si>
  <si>
    <t>Delivery mode</t>
  </si>
  <si>
    <t>Add extension</t>
  </si>
  <si>
    <t>IFAS for pregnant women (community)</t>
  </si>
  <si>
    <t>IFAS (community)</t>
  </si>
  <si>
    <t>IFAS (retailer)</t>
  </si>
  <si>
    <t>IFAS (school)</t>
  </si>
  <si>
    <t>Projection years</t>
  </si>
  <si>
    <t>End year</t>
  </si>
  <si>
    <t>Baseline year (projection start year)</t>
  </si>
  <si>
    <t>Unit costs (US$) by delivery modality and target population</t>
  </si>
  <si>
    <t>Kangaroo mother care</t>
  </si>
  <si>
    <t>Birth spacing</t>
  </si>
  <si>
    <t>Family planning</t>
  </si>
  <si>
    <t>IYCF 2</t>
  </si>
  <si>
    <t>IYCF 3</t>
  </si>
  <si>
    <t>Saturation coverage of target population</t>
  </si>
  <si>
    <t>Linear (constant marginal cost) [default]</t>
  </si>
  <si>
    <t>Curved with increasing marginal cost</t>
  </si>
  <si>
    <t>Curved with decreasing marginal cost</t>
  </si>
  <si>
    <t>S-shaped (decreasing then increasing marginal cost)</t>
  </si>
  <si>
    <t>Cost-coverage relationship</t>
  </si>
  <si>
    <t>Unit cost (US$ per person per year)</t>
  </si>
  <si>
    <t>IFAS (health facility)</t>
  </si>
  <si>
    <t>IFAS for pregnant women (health facility)</t>
  </si>
  <si>
    <t>Children under 5 population</t>
  </si>
  <si>
    <t>Neonatal</t>
  </si>
  <si>
    <t>Causes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</si>
</sst>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0.000"/>
    <numFmt numFmtId="167" formatCode="0.0%"/>
  </numFmts>
  <fonts count="38">
    <font>
      <sz val="10"/>
      <color rgb="FF000000"/>
      <name val="Arial"/>
    </font>
    <font>
      <sz val="12"/>
      <color theme="1"/>
      <name val="Calibri"/>
      <family val="2"/>
      <scheme val="minor"/>
    </font>
    <font>
      <b/>
      <sz val="10"/>
      <name val="Arial"/>
      <family val="2"/>
    </font>
    <font>
      <sz val="10"/>
      <name val="Arial"/>
      <family val="2"/>
    </font>
    <font>
      <sz val="10"/>
      <color rgb="FF000000"/>
      <name val="Arial"/>
      <family val="2"/>
    </font>
    <font>
      <u/>
      <sz val="10"/>
      <color theme="10"/>
      <name val="Arial"/>
      <family val="2"/>
    </font>
    <font>
      <u/>
      <sz val="10"/>
      <color theme="11"/>
      <name val="Arial"/>
      <family val="2"/>
    </font>
    <font>
      <sz val="8"/>
      <name val="Arial"/>
      <family val="2"/>
    </font>
    <font>
      <b/>
      <sz val="10"/>
      <color rgb="FF000000"/>
      <name val="Arial"/>
      <family val="2"/>
    </font>
    <font>
      <sz val="10"/>
      <color theme="0" tint="-0.499984740745262"/>
      <name val="Arial"/>
      <family val="2"/>
    </font>
    <font>
      <sz val="10"/>
      <color rgb="FFFF0000"/>
      <name val="Arial"/>
      <family val="2"/>
    </font>
    <font>
      <sz val="10"/>
      <color theme="1"/>
      <name val="Arial"/>
      <family val="2"/>
    </font>
    <font>
      <i/>
      <sz val="10"/>
      <color theme="0" tint="-0.34998626667073579"/>
      <name val="Arial"/>
      <family val="2"/>
    </font>
    <font>
      <sz val="10"/>
      <color rgb="FF000000"/>
      <name val="Tahoma"/>
      <family val="2"/>
    </font>
    <font>
      <b/>
      <sz val="10"/>
      <color rgb="FF000000"/>
      <name val="Tahoma"/>
      <family val="2"/>
    </font>
    <font>
      <sz val="11"/>
      <color rgb="FF000000"/>
      <name val="Arial"/>
      <family val="2"/>
    </font>
    <font>
      <b/>
      <sz val="10"/>
      <color theme="0"/>
      <name val="Arial"/>
      <family val="2"/>
    </font>
    <font>
      <sz val="12"/>
      <color theme="0"/>
      <name val="Calibri"/>
      <family val="2"/>
      <scheme val="minor"/>
    </font>
    <font>
      <b/>
      <sz val="10"/>
      <color indexed="81"/>
      <name val="Calibri"/>
      <family val="2"/>
    </font>
    <font>
      <sz val="10"/>
      <color indexed="81"/>
      <name val="Calibri"/>
      <family val="2"/>
    </font>
    <font>
      <sz val="10"/>
      <color theme="0" tint="-4.9989318521683403E-2"/>
      <name val="Arial"/>
      <family val="2"/>
    </font>
    <font>
      <sz val="10"/>
      <color theme="0"/>
      <name val="Arial"/>
      <family val="2"/>
    </font>
    <font>
      <b/>
      <sz val="9"/>
      <color rgb="FF000000"/>
      <name val="Tahoma"/>
      <family val="2"/>
    </font>
    <font>
      <sz val="9"/>
      <color rgb="FF000000"/>
      <name val="Tahoma"/>
      <family val="2"/>
    </font>
    <font>
      <sz val="9"/>
      <color indexed="81"/>
      <name val="Tahoma"/>
      <family val="2"/>
    </font>
    <font>
      <b/>
      <sz val="9"/>
      <color indexed="81"/>
      <name val="Tahoma"/>
      <family val="2"/>
    </font>
    <font>
      <sz val="9"/>
      <color rgb="FF000000"/>
      <name val="Arial"/>
      <family val="2"/>
    </font>
    <font>
      <vertAlign val="subscript"/>
      <sz val="10"/>
      <color rgb="FF000000"/>
      <name val="Arial"/>
      <family val="2"/>
    </font>
    <font>
      <sz val="10"/>
      <color rgb="FF000000"/>
      <name val="+mn-lt"/>
      <charset val="1"/>
    </font>
    <font>
      <vertAlign val="subscript"/>
      <sz val="10"/>
      <color rgb="FF000000"/>
      <name val="+mn-lt"/>
      <charset val="1"/>
    </font>
    <font>
      <i/>
      <sz val="9"/>
      <color rgb="FF000000"/>
      <name val="Arial"/>
      <family val="2"/>
    </font>
    <font>
      <i/>
      <sz val="10"/>
      <color rgb="FF000000"/>
      <name val="+mn-lt"/>
      <charset val="1"/>
    </font>
    <font>
      <vertAlign val="superscript"/>
      <sz val="10"/>
      <color rgb="FF000000"/>
      <name val="Arial"/>
      <family val="2"/>
    </font>
    <font>
      <vertAlign val="superscript"/>
      <sz val="10"/>
      <color rgb="FF000000"/>
      <name val="+mn-lt"/>
      <charset val="1"/>
    </font>
    <font>
      <b/>
      <sz val="10"/>
      <color rgb="FF000000"/>
      <name val="+mn-lt"/>
      <charset val="1"/>
    </font>
    <font>
      <sz val="18"/>
      <color rgb="FF000000"/>
      <name val="Arial"/>
      <family val="2"/>
    </font>
    <font>
      <i/>
      <sz val="10"/>
      <color rgb="FF000000"/>
      <name val="Arial"/>
      <family val="2"/>
    </font>
    <font>
      <u/>
      <sz val="10"/>
      <color rgb="FF000000"/>
      <name val="Arial"/>
      <family val="2"/>
    </font>
  </fonts>
  <fills count="4">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indexed="64"/>
      </left>
      <right style="thin">
        <color indexed="64"/>
      </right>
      <top style="thin">
        <color indexed="64"/>
      </top>
      <bottom/>
      <diagonal/>
    </border>
    <border>
      <left/>
      <right/>
      <top style="thin">
        <color indexed="64"/>
      </top>
      <bottom/>
      <diagonal/>
    </border>
  </borders>
  <cellStyleXfs count="72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1" fillId="0" borderId="0"/>
  </cellStyleXfs>
  <cellXfs count="95">
    <xf numFmtId="0" fontId="0" fillId="0" borderId="0" xfId="0" applyFont="1" applyAlignment="1"/>
    <xf numFmtId="0" fontId="2" fillId="0" borderId="0" xfId="0" applyFont="1" applyAlignment="1"/>
    <xf numFmtId="0" fontId="3" fillId="0" borderId="0" xfId="0" applyFont="1" applyAlignment="1">
      <alignment horizontal="center"/>
    </xf>
    <xf numFmtId="0" fontId="3" fillId="0" borderId="0" xfId="0" applyFont="1" applyAlignment="1"/>
    <xf numFmtId="0" fontId="8" fillId="0" borderId="0" xfId="0" applyFont="1" applyAlignment="1"/>
    <xf numFmtId="0" fontId="0" fillId="0" borderId="0" xfId="0" applyFont="1" applyFill="1" applyAlignment="1"/>
    <xf numFmtId="0" fontId="3" fillId="0" borderId="0" xfId="0" applyFont="1" applyFill="1" applyAlignment="1"/>
    <xf numFmtId="0" fontId="3" fillId="0" borderId="0" xfId="0" applyFont="1" applyAlignment="1">
      <alignment horizontal="right"/>
    </xf>
    <xf numFmtId="10" fontId="0" fillId="0" borderId="0" xfId="0" applyNumberFormat="1" applyFont="1" applyAlignment="1"/>
    <xf numFmtId="0" fontId="3" fillId="0" borderId="0" xfId="0" applyFont="1" applyFill="1" applyBorder="1" applyAlignment="1">
      <alignment horizontal="right"/>
    </xf>
    <xf numFmtId="0" fontId="10" fillId="0" borderId="0" xfId="0" applyFont="1" applyFill="1" applyAlignment="1">
      <alignment horizontal="center"/>
    </xf>
    <xf numFmtId="0" fontId="3" fillId="0" borderId="0" xfId="0" applyFont="1" applyFill="1" applyAlignment="1">
      <alignment horizontal="right"/>
    </xf>
    <xf numFmtId="0" fontId="4" fillId="0" borderId="0" xfId="0" applyFont="1" applyAlignment="1"/>
    <xf numFmtId="0" fontId="4" fillId="0" borderId="0" xfId="0" applyFont="1" applyFill="1" applyAlignment="1"/>
    <xf numFmtId="0" fontId="0" fillId="0" borderId="0" xfId="0" applyFont="1" applyAlignment="1">
      <alignment horizontal="right"/>
    </xf>
    <xf numFmtId="0" fontId="0" fillId="0" borderId="0" xfId="0" applyFont="1" applyAlignment="1">
      <alignment wrapText="1"/>
    </xf>
    <xf numFmtId="0" fontId="4" fillId="0" borderId="0" xfId="0" applyFont="1" applyAlignment="1">
      <alignment horizontal="right"/>
    </xf>
    <xf numFmtId="164" fontId="4" fillId="0" borderId="0" xfId="0" applyNumberFormat="1" applyFont="1" applyAlignment="1"/>
    <xf numFmtId="165" fontId="4" fillId="0" borderId="0" xfId="0" applyNumberFormat="1" applyFont="1" applyAlignment="1"/>
    <xf numFmtId="0" fontId="8" fillId="0" borderId="0" xfId="0" applyFont="1" applyAlignment="1">
      <alignment horizontal="right"/>
    </xf>
    <xf numFmtId="0" fontId="11" fillId="0" borderId="0" xfId="0" applyFont="1" applyAlignment="1">
      <alignment horizontal="right"/>
    </xf>
    <xf numFmtId="0" fontId="4" fillId="0" borderId="0" xfId="0" applyFont="1" applyAlignment="1">
      <alignment wrapText="1"/>
    </xf>
    <xf numFmtId="165" fontId="9" fillId="3" borderId="1" xfId="9" applyNumberFormat="1" applyFont="1" applyFill="1" applyBorder="1" applyAlignment="1"/>
    <xf numFmtId="0" fontId="4" fillId="0" borderId="0" xfId="0" applyFont="1" applyAlignment="1">
      <alignment horizontal="right" wrapText="1"/>
    </xf>
    <xf numFmtId="0" fontId="4" fillId="0" borderId="0" xfId="0" applyFont="1" applyAlignment="1">
      <alignment horizontal="right" vertical="center"/>
    </xf>
    <xf numFmtId="0" fontId="3" fillId="0" borderId="0" xfId="0" applyFont="1" applyAlignment="1">
      <alignment horizontal="right" wrapText="1"/>
    </xf>
    <xf numFmtId="166" fontId="9" fillId="3" borderId="1" xfId="9" applyNumberFormat="1" applyFont="1" applyFill="1" applyBorder="1" applyAlignment="1">
      <alignment horizontal="right"/>
    </xf>
    <xf numFmtId="0" fontId="2" fillId="0" borderId="0" xfId="0" applyFont="1" applyAlignment="1">
      <alignment wrapText="1"/>
    </xf>
    <xf numFmtId="167" fontId="4" fillId="2" borderId="1" xfId="0" applyNumberFormat="1" applyFont="1" applyFill="1" applyBorder="1" applyAlignment="1">
      <alignment horizontal="right"/>
    </xf>
    <xf numFmtId="167" fontId="4" fillId="0" borderId="0" xfId="0" applyNumberFormat="1" applyFont="1" applyAlignment="1"/>
    <xf numFmtId="0" fontId="3" fillId="0" borderId="0" xfId="0" applyFont="1" applyFill="1" applyBorder="1" applyAlignment="1">
      <alignment horizontal="right" vertical="center" wrapText="1"/>
    </xf>
    <xf numFmtId="0" fontId="2" fillId="0" borderId="0" xfId="0" applyFont="1" applyAlignment="1">
      <alignment horizontal="right" wrapText="1"/>
    </xf>
    <xf numFmtId="0" fontId="12" fillId="0" borderId="0" xfId="0" applyFont="1" applyAlignment="1">
      <alignment horizontal="right" vertical="center"/>
    </xf>
    <xf numFmtId="0" fontId="0" fillId="0" borderId="0" xfId="0" applyFont="1" applyFill="1" applyAlignment="1">
      <alignment horizontal="right"/>
    </xf>
    <xf numFmtId="0" fontId="4" fillId="0" borderId="0" xfId="0" applyFont="1" applyFill="1" applyBorder="1" applyAlignment="1">
      <alignment horizontal="right"/>
    </xf>
    <xf numFmtId="0" fontId="4" fillId="0" borderId="0" xfId="725" applyFont="1" applyAlignment="1"/>
    <xf numFmtId="0" fontId="4" fillId="0" borderId="0" xfId="725" applyFont="1" applyFill="1" applyAlignment="1"/>
    <xf numFmtId="0" fontId="4" fillId="0" borderId="0" xfId="725" applyNumberFormat="1" applyFont="1" applyFill="1" applyAlignment="1"/>
    <xf numFmtId="0" fontId="15" fillId="0" borderId="0" xfId="725" applyNumberFormat="1" applyFont="1" applyAlignment="1"/>
    <xf numFmtId="0" fontId="15" fillId="0" borderId="0" xfId="725" applyFont="1" applyAlignment="1"/>
    <xf numFmtId="0" fontId="8" fillId="0" borderId="0" xfId="725" applyFont="1" applyAlignment="1"/>
    <xf numFmtId="0" fontId="16" fillId="0" borderId="0" xfId="0" applyFont="1" applyFill="1" applyAlignment="1">
      <alignment horizontal="right"/>
    </xf>
    <xf numFmtId="0" fontId="4" fillId="0" borderId="0" xfId="0" applyFont="1" applyFill="1" applyAlignment="1">
      <alignment horizontal="right"/>
    </xf>
    <xf numFmtId="0" fontId="3" fillId="0" borderId="0" xfId="725" applyFont="1" applyAlignment="1"/>
    <xf numFmtId="0" fontId="4" fillId="3" borderId="2" xfId="725" applyFont="1" applyFill="1" applyBorder="1" applyAlignment="1"/>
    <xf numFmtId="0" fontId="4" fillId="3" borderId="3" xfId="725" applyFont="1" applyFill="1" applyBorder="1" applyAlignment="1"/>
    <xf numFmtId="0" fontId="4" fillId="0" borderId="2" xfId="725" applyFont="1" applyBorder="1" applyAlignment="1"/>
    <xf numFmtId="0" fontId="4" fillId="0" borderId="0" xfId="725" applyFont="1" applyBorder="1" applyAlignment="1"/>
    <xf numFmtId="167" fontId="4" fillId="2" borderId="1" xfId="725" applyNumberFormat="1" applyFont="1" applyFill="1" applyBorder="1" applyAlignment="1">
      <alignment horizontal="right" vertical="center"/>
    </xf>
    <xf numFmtId="0" fontId="8" fillId="0" borderId="6" xfId="725" applyFont="1" applyBorder="1" applyAlignment="1"/>
    <xf numFmtId="0" fontId="8" fillId="0" borderId="5" xfId="725" applyFont="1" applyBorder="1" applyAlignment="1"/>
    <xf numFmtId="0" fontId="8" fillId="0" borderId="1" xfId="725" applyFont="1" applyBorder="1" applyAlignment="1"/>
    <xf numFmtId="0" fontId="3" fillId="0" borderId="0" xfId="726" applyFont="1" applyFill="1" applyAlignment="1">
      <alignment horizontal="right"/>
    </xf>
    <xf numFmtId="0" fontId="2" fillId="0" borderId="0" xfId="725" applyFont="1" applyAlignment="1">
      <alignment wrapText="1"/>
    </xf>
    <xf numFmtId="0" fontId="2" fillId="0" borderId="0" xfId="725" applyFont="1" applyFill="1" applyAlignment="1"/>
    <xf numFmtId="0" fontId="1" fillId="0" borderId="0" xfId="726"/>
    <xf numFmtId="2" fontId="1" fillId="0" borderId="0" xfId="726" applyNumberFormat="1"/>
    <xf numFmtId="0" fontId="1" fillId="0" borderId="0" xfId="726" applyFont="1" applyAlignment="1"/>
    <xf numFmtId="0" fontId="17" fillId="0" borderId="0" xfId="726" applyFont="1"/>
    <xf numFmtId="0" fontId="8" fillId="0" borderId="0" xfId="726" applyFont="1" applyAlignment="1"/>
    <xf numFmtId="0" fontId="8" fillId="0" borderId="0" xfId="726" applyFont="1" applyAlignment="1">
      <alignment wrapText="1"/>
    </xf>
    <xf numFmtId="167" fontId="20" fillId="3" borderId="4" xfId="725" applyNumberFormat="1" applyFont="1" applyFill="1" applyBorder="1" applyAlignment="1"/>
    <xf numFmtId="0" fontId="8" fillId="0" borderId="0" xfId="0" applyFont="1" applyFill="1" applyAlignment="1"/>
    <xf numFmtId="0" fontId="4" fillId="0" borderId="0" xfId="725" applyFont="1" applyFill="1" applyAlignment="1">
      <alignment horizontal="right"/>
    </xf>
    <xf numFmtId="0" fontId="21" fillId="0" borderId="0" xfId="0" applyFont="1" applyFill="1" applyAlignment="1"/>
    <xf numFmtId="0" fontId="8" fillId="0" borderId="2" xfId="725" applyFont="1" applyBorder="1" applyAlignment="1"/>
    <xf numFmtId="0" fontId="2" fillId="0" borderId="0" xfId="725" applyFont="1" applyFill="1" applyAlignment="1">
      <alignment wrapText="1"/>
    </xf>
    <xf numFmtId="0" fontId="4" fillId="2" borderId="1" xfId="10" applyNumberFormat="1" applyFont="1" applyFill="1" applyBorder="1" applyAlignment="1" applyProtection="1">
      <alignment horizontal="right"/>
      <protection locked="0"/>
    </xf>
    <xf numFmtId="0" fontId="4" fillId="2" borderId="1" xfId="10" applyNumberFormat="1" applyFont="1" applyFill="1" applyBorder="1" applyAlignment="1" applyProtection="1">
      <protection locked="0"/>
    </xf>
    <xf numFmtId="3" fontId="4" fillId="2" borderId="1" xfId="10" applyNumberFormat="1" applyFont="1" applyFill="1" applyBorder="1" applyAlignment="1" applyProtection="1">
      <protection locked="0"/>
    </xf>
    <xf numFmtId="9" fontId="4" fillId="2" borderId="1" xfId="10" applyFont="1" applyFill="1" applyBorder="1" applyAlignment="1" applyProtection="1">
      <alignment horizontal="right"/>
      <protection locked="0"/>
    </xf>
    <xf numFmtId="9" fontId="4" fillId="2" borderId="1" xfId="10" applyFont="1" applyFill="1" applyBorder="1" applyAlignment="1" applyProtection="1">
      <protection locked="0"/>
    </xf>
    <xf numFmtId="9" fontId="9" fillId="3" borderId="1" xfId="10" applyFont="1" applyFill="1" applyBorder="1" applyAlignment="1" applyProtection="1">
      <protection locked="0"/>
    </xf>
    <xf numFmtId="167" fontId="4" fillId="2" borderId="1" xfId="0" applyNumberFormat="1" applyFont="1" applyFill="1" applyBorder="1" applyAlignment="1" applyProtection="1">
      <alignment horizontal="right" vertical="center"/>
      <protection locked="0"/>
    </xf>
    <xf numFmtId="9" fontId="9" fillId="3" borderId="1" xfId="10" applyFont="1" applyFill="1" applyBorder="1" applyAlignment="1" applyProtection="1">
      <alignment horizontal="right"/>
      <protection locked="0"/>
    </xf>
    <xf numFmtId="0" fontId="4" fillId="2" borderId="1" xfId="0" applyFont="1" applyFill="1" applyBorder="1" applyAlignment="1" applyProtection="1">
      <protection locked="0"/>
    </xf>
    <xf numFmtId="2" fontId="0" fillId="2" borderId="1" xfId="0" applyNumberFormat="1" applyFont="1" applyFill="1" applyBorder="1" applyAlignment="1" applyProtection="1">
      <alignment horizontal="right"/>
      <protection locked="0"/>
    </xf>
    <xf numFmtId="3" fontId="4" fillId="2" borderId="1" xfId="0" applyNumberFormat="1" applyFont="1" applyFill="1" applyBorder="1" applyAlignment="1" applyProtection="1">
      <alignment horizontal="center"/>
      <protection locked="0"/>
    </xf>
    <xf numFmtId="165" fontId="4" fillId="2" borderId="1" xfId="0" applyNumberFormat="1" applyFont="1" applyFill="1" applyBorder="1" applyAlignment="1" applyProtection="1">
      <protection locked="0"/>
    </xf>
    <xf numFmtId="10" fontId="3" fillId="2" borderId="1" xfId="0" applyNumberFormat="1" applyFont="1" applyFill="1" applyBorder="1" applyAlignment="1" applyProtection="1">
      <alignment horizontal="right"/>
      <protection locked="0"/>
    </xf>
    <xf numFmtId="167" fontId="9" fillId="3" borderId="1" xfId="10" applyNumberFormat="1" applyFont="1" applyFill="1" applyBorder="1" applyAlignment="1" applyProtection="1">
      <alignment horizontal="right"/>
      <protection locked="0"/>
    </xf>
    <xf numFmtId="167" fontId="4" fillId="2" borderId="1" xfId="0" applyNumberFormat="1" applyFont="1" applyFill="1" applyBorder="1" applyAlignment="1" applyProtection="1">
      <alignment horizontal="right"/>
      <protection locked="0"/>
    </xf>
    <xf numFmtId="167" fontId="0" fillId="2" borderId="1" xfId="0" applyNumberFormat="1" applyFont="1" applyFill="1" applyBorder="1" applyAlignment="1" applyProtection="1">
      <protection locked="0"/>
    </xf>
    <xf numFmtId="167" fontId="4" fillId="2" borderId="1" xfId="10" applyNumberFormat="1" applyFont="1" applyFill="1" applyBorder="1" applyAlignment="1" applyProtection="1">
      <protection locked="0"/>
    </xf>
    <xf numFmtId="167" fontId="4" fillId="2" borderId="1" xfId="725" applyNumberFormat="1" applyFont="1" applyFill="1" applyBorder="1" applyAlignment="1" applyProtection="1">
      <alignment horizontal="right" vertical="center"/>
      <protection locked="0"/>
    </xf>
    <xf numFmtId="9" fontId="3" fillId="2" borderId="1" xfId="725" applyNumberFormat="1" applyFont="1" applyFill="1" applyBorder="1" applyAlignment="1" applyProtection="1">
      <protection locked="0"/>
    </xf>
    <xf numFmtId="2" fontId="3" fillId="2" borderId="1" xfId="725" applyNumberFormat="1" applyFont="1" applyFill="1" applyBorder="1" applyAlignment="1" applyProtection="1">
      <protection locked="0"/>
    </xf>
    <xf numFmtId="0" fontId="3" fillId="0" borderId="0" xfId="0" applyFont="1" applyFill="1" applyAlignment="1" applyProtection="1">
      <alignment horizontal="right"/>
      <protection locked="0"/>
    </xf>
    <xf numFmtId="0" fontId="3" fillId="0" borderId="0" xfId="726" applyFont="1" applyFill="1" applyAlignment="1" applyProtection="1">
      <alignment horizontal="right"/>
      <protection locked="0"/>
    </xf>
    <xf numFmtId="0" fontId="4" fillId="0" borderId="0" xfId="725" applyFont="1" applyAlignment="1" applyProtection="1">
      <protection locked="0"/>
    </xf>
    <xf numFmtId="0" fontId="0" fillId="0" borderId="0" xfId="0" applyFont="1" applyFill="1" applyAlignment="1" applyProtection="1">
      <alignment horizontal="right"/>
      <protection locked="0"/>
    </xf>
    <xf numFmtId="2" fontId="9" fillId="3" borderId="0" xfId="0" applyNumberFormat="1" applyFont="1" applyFill="1" applyAlignment="1" applyProtection="1">
      <alignment horizontal="center"/>
      <protection locked="0"/>
    </xf>
    <xf numFmtId="0" fontId="9" fillId="3" borderId="0" xfId="0" applyFont="1" applyFill="1" applyAlignment="1" applyProtection="1">
      <alignment horizontal="center"/>
      <protection locked="0"/>
    </xf>
    <xf numFmtId="165" fontId="4" fillId="2" borderId="1" xfId="0" applyNumberFormat="1" applyFont="1" applyFill="1" applyBorder="1" applyProtection="1">
      <protection locked="0"/>
    </xf>
    <xf numFmtId="0" fontId="0" fillId="0" borderId="0" xfId="0" applyFont="1" applyAlignment="1" applyProtection="1">
      <protection locked="0"/>
    </xf>
  </cellXfs>
  <cellStyles count="727">
    <cellStyle name="Comma" xfId="9"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Hyperlink" xfId="1" builtinId="8" hidden="1"/>
    <cellStyle name="Hyperlink" xfId="3" builtinId="8" hidden="1"/>
    <cellStyle name="Hyperlink" xfId="5" builtinId="8" hidden="1"/>
    <cellStyle name="Hyperlink" xfId="7"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Normal" xfId="0" builtinId="0"/>
    <cellStyle name="Normal 2" xfId="725" xr:uid="{00000000-0005-0000-0000-0000D4020000}"/>
    <cellStyle name="Normal 3" xfId="726" xr:uid="{00000000-0005-0000-0000-0000D5020000}"/>
    <cellStyle name="Percent" xfId="10" builtinId="5"/>
  </cellStyles>
  <dxfs count="2">
    <dxf>
      <font>
        <color theme="0"/>
      </font>
      <fill>
        <patternFill patternType="none">
          <fgColor indexed="64"/>
          <bgColor auto="1"/>
        </patternFill>
      </fill>
      <border>
        <left/>
        <right/>
        <top/>
        <bottom/>
      </border>
    </dxf>
    <dxf>
      <font>
        <color theme="0"/>
      </font>
      <fill>
        <patternFill patternType="none">
          <fgColor indexed="64"/>
          <bgColor auto="1"/>
        </patternFill>
      </fill>
      <border>
        <left/>
        <right/>
        <top/>
        <bottom/>
      </border>
    </dxf>
  </dxfs>
  <tableStyles count="0" defaultTableStyle="TableStyleMedium9" defaultPivotStyle="PivotStyleMedium4"/>
  <colors>
    <mruColors>
      <color rgb="FF007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546100</xdr:colOff>
      <xdr:row>63</xdr:row>
      <xdr:rowOff>127000</xdr:rowOff>
    </xdr:to>
    <xdr:sp macro="" textlink="">
      <xdr:nvSpPr>
        <xdr:cNvPr id="2049" name="Rectangle 1" hidden="1">
          <a:extLst>
            <a:ext uri="{FF2B5EF4-FFF2-40B4-BE49-F238E27FC236}">
              <a16:creationId xmlns:a16="http://schemas.microsoft.com/office/drawing/2014/main" id="{00000000-0008-0000-0500-000001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2" name="Rectangle 1" hidden="1">
          <a:extLst>
            <a:ext uri="{FF2B5EF4-FFF2-40B4-BE49-F238E27FC236}">
              <a16:creationId xmlns:a16="http://schemas.microsoft.com/office/drawing/2014/main" id="{00000000-0008-0000-05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3" name="Rectangle 1" hidden="1">
          <a:extLst>
            <a:ext uri="{FF2B5EF4-FFF2-40B4-BE49-F238E27FC236}">
              <a16:creationId xmlns:a16="http://schemas.microsoft.com/office/drawing/2014/main" id="{00000000-0008-0000-05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4" name="Rectangle 1" hidden="1">
          <a:extLst>
            <a:ext uri="{FF2B5EF4-FFF2-40B4-BE49-F238E27FC236}">
              <a16:creationId xmlns:a16="http://schemas.microsoft.com/office/drawing/2014/main" id="{00000000-0008-0000-05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5" name="Rectangle 1" hidden="1">
          <a:extLst>
            <a:ext uri="{FF2B5EF4-FFF2-40B4-BE49-F238E27FC236}">
              <a16:creationId xmlns:a16="http://schemas.microsoft.com/office/drawing/2014/main" id="{00000000-0008-0000-0500-000005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6" name="Rectangle 1" hidden="1">
          <a:extLst>
            <a:ext uri="{FF2B5EF4-FFF2-40B4-BE49-F238E27FC236}">
              <a16:creationId xmlns:a16="http://schemas.microsoft.com/office/drawing/2014/main" id="{00000000-0008-0000-0500-000006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7" name="Rectangle 1" hidden="1">
          <a:extLst>
            <a:ext uri="{FF2B5EF4-FFF2-40B4-BE49-F238E27FC236}">
              <a16:creationId xmlns:a16="http://schemas.microsoft.com/office/drawing/2014/main" id="{00000000-0008-0000-0500-000007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8" name="Rectangle 1" hidden="1">
          <a:extLst>
            <a:ext uri="{FF2B5EF4-FFF2-40B4-BE49-F238E27FC236}">
              <a16:creationId xmlns:a16="http://schemas.microsoft.com/office/drawing/2014/main" id="{00000000-0008-0000-0500-000008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9" name="Rectangle 1" hidden="1">
          <a:extLst>
            <a:ext uri="{FF2B5EF4-FFF2-40B4-BE49-F238E27FC236}">
              <a16:creationId xmlns:a16="http://schemas.microsoft.com/office/drawing/2014/main" id="{00000000-0008-0000-0500-000009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10" name="Rectangle 1" hidden="1">
          <a:extLst>
            <a:ext uri="{FF2B5EF4-FFF2-40B4-BE49-F238E27FC236}">
              <a16:creationId xmlns:a16="http://schemas.microsoft.com/office/drawing/2014/main" id="{00000000-0008-0000-0500-00000A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11" name="Rectangle 1" hidden="1">
          <a:extLst>
            <a:ext uri="{FF2B5EF4-FFF2-40B4-BE49-F238E27FC236}">
              <a16:creationId xmlns:a16="http://schemas.microsoft.com/office/drawing/2014/main" id="{00000000-0008-0000-0500-00000B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12" name="Rectangle 1" hidden="1">
          <a:extLst>
            <a:ext uri="{FF2B5EF4-FFF2-40B4-BE49-F238E27FC236}">
              <a16:creationId xmlns:a16="http://schemas.microsoft.com/office/drawing/2014/main" id="{00000000-0008-0000-0500-00000C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13" name="Rectangle 1" hidden="1">
          <a:extLst>
            <a:ext uri="{FF2B5EF4-FFF2-40B4-BE49-F238E27FC236}">
              <a16:creationId xmlns:a16="http://schemas.microsoft.com/office/drawing/2014/main" id="{00000000-0008-0000-0500-00000D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14" name="Rectangle 1" hidden="1">
          <a:extLst>
            <a:ext uri="{FF2B5EF4-FFF2-40B4-BE49-F238E27FC236}">
              <a16:creationId xmlns:a16="http://schemas.microsoft.com/office/drawing/2014/main" id="{00000000-0008-0000-0500-00000E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15" name="Rectangle 1" hidden="1">
          <a:extLst>
            <a:ext uri="{FF2B5EF4-FFF2-40B4-BE49-F238E27FC236}">
              <a16:creationId xmlns:a16="http://schemas.microsoft.com/office/drawing/2014/main" id="{00000000-0008-0000-0500-00000F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16" name="Rectangle 1" hidden="1">
          <a:extLst>
            <a:ext uri="{FF2B5EF4-FFF2-40B4-BE49-F238E27FC236}">
              <a16:creationId xmlns:a16="http://schemas.microsoft.com/office/drawing/2014/main" id="{00000000-0008-0000-0500-000010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11</xdr:col>
      <xdr:colOff>546100</xdr:colOff>
      <xdr:row>63</xdr:row>
      <xdr:rowOff>127000</xdr:rowOff>
    </xdr:to>
    <xdr:sp macro="" textlink="">
      <xdr:nvSpPr>
        <xdr:cNvPr id="17" name="Rectangle 1" hidden="1">
          <a:extLst>
            <a:ext uri="{FF2B5EF4-FFF2-40B4-BE49-F238E27FC236}">
              <a16:creationId xmlns:a16="http://schemas.microsoft.com/office/drawing/2014/main" id="{00000000-0008-0000-0500-000011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866775</xdr:colOff>
      <xdr:row>44</xdr:row>
      <xdr:rowOff>123825</xdr:rowOff>
    </xdr:to>
    <xdr:sp macro="" textlink="">
      <xdr:nvSpPr>
        <xdr:cNvPr id="18" name="Rectangle 1" hidden="1">
          <a:extLst>
            <a:ext uri="{FF2B5EF4-FFF2-40B4-BE49-F238E27FC236}">
              <a16:creationId xmlns:a16="http://schemas.microsoft.com/office/drawing/2014/main" id="{00000000-0008-0000-0500-00001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546100</xdr:colOff>
      <xdr:row>63</xdr:row>
      <xdr:rowOff>127000</xdr:rowOff>
    </xdr:to>
    <xdr:sp macro="" textlink="">
      <xdr:nvSpPr>
        <xdr:cNvPr id="19" name="Rectangle 1" hidden="1">
          <a:extLst>
            <a:ext uri="{FF2B5EF4-FFF2-40B4-BE49-F238E27FC236}">
              <a16:creationId xmlns:a16="http://schemas.microsoft.com/office/drawing/2014/main" id="{00000000-0008-0000-0500-00001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600"/>
  </sheetPr>
  <dimension ref="A1:E63"/>
  <sheetViews>
    <sheetView tabSelected="1" topLeftCell="A7" zoomScaleNormal="100" workbookViewId="0">
      <selection activeCell="C26" sqref="C26"/>
    </sheetView>
  </sheetViews>
  <sheetFormatPr defaultColWidth="14.453125" defaultRowHeight="15.75" customHeight="1"/>
  <cols>
    <col min="1" max="1" width="27.6328125" style="12" customWidth="1"/>
    <col min="2" max="2" width="38.6328125" style="16" customWidth="1"/>
    <col min="3" max="16384" width="14.453125" style="12"/>
  </cols>
  <sheetData>
    <row r="1" spans="1:3" ht="16" customHeight="1">
      <c r="A1" s="1" t="s">
        <v>100</v>
      </c>
      <c r="B1" s="41" t="s">
        <v>164</v>
      </c>
      <c r="C1" s="41" t="s">
        <v>165</v>
      </c>
    </row>
    <row r="2" spans="1:3" ht="16" customHeight="1">
      <c r="A2" s="12" t="s">
        <v>191</v>
      </c>
      <c r="B2" s="41"/>
      <c r="C2" s="41"/>
    </row>
    <row r="3" spans="1:3" ht="16" customHeight="1">
      <c r="A3" s="1"/>
      <c r="B3" s="7" t="s">
        <v>193</v>
      </c>
      <c r="C3" s="67">
        <v>2019</v>
      </c>
    </row>
    <row r="4" spans="1:3" ht="16" customHeight="1">
      <c r="A4" s="1"/>
      <c r="B4" s="9" t="s">
        <v>192</v>
      </c>
      <c r="C4" s="68">
        <v>2025</v>
      </c>
    </row>
    <row r="5" spans="1:3" ht="16" customHeight="1">
      <c r="A5" s="1"/>
      <c r="B5" s="41"/>
      <c r="C5" s="41"/>
    </row>
    <row r="6" spans="1:3" ht="15" customHeight="1">
      <c r="A6" s="12" t="s">
        <v>48</v>
      </c>
    </row>
    <row r="7" spans="1:3" ht="15" customHeight="1">
      <c r="B7" s="16" t="s">
        <v>209</v>
      </c>
      <c r="C7" s="69">
        <v>32721583</v>
      </c>
    </row>
    <row r="8" spans="1:3" ht="15" customHeight="1">
      <c r="B8" s="7" t="s">
        <v>106</v>
      </c>
      <c r="C8" s="70">
        <v>0.23</v>
      </c>
    </row>
    <row r="9" spans="1:3" ht="15" customHeight="1">
      <c r="B9" s="9" t="s">
        <v>107</v>
      </c>
      <c r="C9" s="71">
        <v>0.96</v>
      </c>
    </row>
    <row r="10" spans="1:3" ht="15" customHeight="1">
      <c r="B10" s="9" t="s">
        <v>105</v>
      </c>
      <c r="C10" s="71">
        <v>0.49</v>
      </c>
    </row>
    <row r="11" spans="1:3" ht="15" customHeight="1">
      <c r="B11" s="7" t="s">
        <v>108</v>
      </c>
      <c r="C11" s="70">
        <v>0.46</v>
      </c>
    </row>
    <row r="12" spans="1:3" ht="15" customHeight="1">
      <c r="B12" s="7" t="s">
        <v>109</v>
      </c>
      <c r="C12" s="70">
        <v>0.32</v>
      </c>
    </row>
    <row r="13" spans="1:3" ht="15" customHeight="1">
      <c r="B13" s="7" t="s">
        <v>110</v>
      </c>
      <c r="C13" s="70">
        <v>0.189</v>
      </c>
    </row>
    <row r="14" spans="1:3" ht="15" customHeight="1">
      <c r="B14" s="12"/>
    </row>
    <row r="15" spans="1:3" ht="15" customHeight="1">
      <c r="A15" s="12" t="s">
        <v>30</v>
      </c>
      <c r="B15" s="19"/>
      <c r="C15" s="3"/>
    </row>
    <row r="16" spans="1:3" ht="15" customHeight="1">
      <c r="B16" s="9" t="s">
        <v>94</v>
      </c>
      <c r="C16" s="71">
        <v>0.6</v>
      </c>
    </row>
    <row r="17" spans="1:3" ht="15" customHeight="1">
      <c r="B17" s="9" t="s">
        <v>95</v>
      </c>
      <c r="C17" s="71">
        <v>0.1</v>
      </c>
    </row>
    <row r="18" spans="1:3" ht="15" customHeight="1">
      <c r="B18" s="9" t="s">
        <v>96</v>
      </c>
      <c r="C18" s="71">
        <v>0.03</v>
      </c>
    </row>
    <row r="19" spans="1:3" ht="15" customHeight="1">
      <c r="B19" s="9" t="s">
        <v>97</v>
      </c>
      <c r="C19" s="71">
        <v>0.2</v>
      </c>
    </row>
    <row r="20" spans="1:3" ht="15" customHeight="1">
      <c r="B20" s="9" t="s">
        <v>98</v>
      </c>
      <c r="C20" s="72">
        <f>1-frac_rice-frac_wheat-frac_maize</f>
        <v>0.66999999999999993</v>
      </c>
    </row>
    <row r="21" spans="1:3" ht="15" customHeight="1">
      <c r="B21" s="12"/>
    </row>
    <row r="22" spans="1:3" ht="15" customHeight="1">
      <c r="A22" s="12" t="s">
        <v>99</v>
      </c>
    </row>
    <row r="23" spans="1:3" ht="15" customHeight="1">
      <c r="B23" s="20" t="s">
        <v>101</v>
      </c>
      <c r="C23" s="94">
        <v>0.111</v>
      </c>
    </row>
    <row r="24" spans="1:3" ht="15" customHeight="1">
      <c r="B24" s="20" t="s">
        <v>102</v>
      </c>
      <c r="C24" s="94">
        <v>0.46600000000000003</v>
      </c>
    </row>
    <row r="25" spans="1:3" ht="15" customHeight="1">
      <c r="B25" s="20" t="s">
        <v>103</v>
      </c>
      <c r="C25" s="94">
        <v>0.33019999999999999</v>
      </c>
    </row>
    <row r="26" spans="1:3" ht="15" customHeight="1">
      <c r="B26" s="20" t="s">
        <v>104</v>
      </c>
      <c r="C26" s="94">
        <v>9.1800000000000007E-2</v>
      </c>
    </row>
    <row r="27" spans="1:3" ht="15" customHeight="1">
      <c r="B27" s="20"/>
      <c r="C27" s="20"/>
    </row>
    <row r="28" spans="1:3" ht="15" customHeight="1">
      <c r="A28" s="12" t="s">
        <v>196</v>
      </c>
      <c r="B28" s="20"/>
      <c r="C28" s="20"/>
    </row>
    <row r="29" spans="1:3" ht="14.25" customHeight="1">
      <c r="B29" s="30" t="s">
        <v>75</v>
      </c>
      <c r="C29" s="73">
        <v>0.23052569701041317</v>
      </c>
    </row>
    <row r="30" spans="1:3" ht="14.25" customHeight="1">
      <c r="B30" s="30" t="s">
        <v>76</v>
      </c>
      <c r="C30" s="73">
        <v>7.9635539133355721E-2</v>
      </c>
    </row>
    <row r="31" spans="1:3" ht="14.25" customHeight="1">
      <c r="B31" s="30" t="s">
        <v>77</v>
      </c>
      <c r="C31" s="73">
        <v>0.15366140409808532</v>
      </c>
    </row>
    <row r="32" spans="1:3" ht="14.25" customHeight="1">
      <c r="B32" s="30" t="s">
        <v>78</v>
      </c>
      <c r="C32" s="73">
        <v>0.53617735975814573</v>
      </c>
    </row>
    <row r="33" spans="1:5" ht="13">
      <c r="B33" s="32" t="s">
        <v>129</v>
      </c>
      <c r="C33" s="74">
        <f>SUM(C29:C32)</f>
        <v>1</v>
      </c>
    </row>
    <row r="34" spans="1:5" ht="15" customHeight="1"/>
    <row r="35" spans="1:5" ht="15" customHeight="1">
      <c r="A35" s="4" t="s">
        <v>135</v>
      </c>
    </row>
    <row r="36" spans="1:5" ht="15" customHeight="1">
      <c r="A36" s="12" t="s">
        <v>74</v>
      </c>
      <c r="B36" s="7"/>
      <c r="C36" s="13"/>
    </row>
    <row r="37" spans="1:5" ht="15" customHeight="1">
      <c r="B37" s="42" t="s">
        <v>92</v>
      </c>
      <c r="C37" s="75">
        <v>38</v>
      </c>
    </row>
    <row r="38" spans="1:5" ht="15" customHeight="1">
      <c r="B38" s="16" t="s">
        <v>91</v>
      </c>
      <c r="C38" s="75">
        <v>67</v>
      </c>
      <c r="D38" s="17"/>
      <c r="E38" s="18"/>
    </row>
    <row r="39" spans="1:5" ht="15" customHeight="1">
      <c r="B39" s="16" t="s">
        <v>90</v>
      </c>
      <c r="C39" s="75">
        <v>132</v>
      </c>
      <c r="D39" s="17"/>
      <c r="E39" s="17"/>
    </row>
    <row r="40" spans="1:5" ht="15" customHeight="1">
      <c r="B40" s="16" t="s">
        <v>171</v>
      </c>
      <c r="C40" s="75">
        <v>5.76</v>
      </c>
    </row>
    <row r="41" spans="1:5" ht="15" customHeight="1">
      <c r="B41" s="16" t="s">
        <v>89</v>
      </c>
      <c r="C41" s="71">
        <v>0.13</v>
      </c>
    </row>
    <row r="42" spans="1:5" ht="15" customHeight="1">
      <c r="B42" s="42" t="s">
        <v>93</v>
      </c>
      <c r="C42" s="75">
        <v>42.89</v>
      </c>
    </row>
    <row r="43" spans="1:5" ht="15.75" customHeight="1">
      <c r="D43" s="17"/>
    </row>
    <row r="44" spans="1:5" ht="15.75" customHeight="1">
      <c r="A44" s="12" t="s">
        <v>133</v>
      </c>
      <c r="D44" s="17"/>
    </row>
    <row r="45" spans="1:5" ht="15.75" customHeight="1">
      <c r="B45" s="16" t="s">
        <v>9</v>
      </c>
      <c r="C45" s="71">
        <v>0.02</v>
      </c>
      <c r="D45" s="17"/>
    </row>
    <row r="46" spans="1:5" ht="15.75" customHeight="1">
      <c r="B46" s="16" t="s">
        <v>11</v>
      </c>
      <c r="C46" s="71">
        <v>0.1</v>
      </c>
      <c r="D46" s="17"/>
    </row>
    <row r="47" spans="1:5" ht="15.75" customHeight="1">
      <c r="B47" s="16" t="s">
        <v>12</v>
      </c>
      <c r="C47" s="71">
        <v>0.23499999999999999</v>
      </c>
      <c r="D47" s="17"/>
      <c r="E47" s="18"/>
    </row>
    <row r="48" spans="1:5" ht="15" customHeight="1">
      <c r="B48" s="16" t="s">
        <v>26</v>
      </c>
      <c r="C48" s="72">
        <f>1-term_SGA-preterm_AGA-preterm_SGA</f>
        <v>0.64500000000000002</v>
      </c>
      <c r="D48" s="17"/>
      <c r="E48" s="17"/>
    </row>
    <row r="49" spans="1:4" ht="15.75" customHeight="1">
      <c r="D49" s="17"/>
    </row>
    <row r="50" spans="1:4" ht="15.75" customHeight="1">
      <c r="A50" s="12" t="s">
        <v>72</v>
      </c>
      <c r="D50" s="17"/>
    </row>
    <row r="51" spans="1:4" ht="15.75" customHeight="1">
      <c r="B51" s="16" t="s">
        <v>124</v>
      </c>
      <c r="C51" s="76">
        <v>2.76</v>
      </c>
      <c r="D51" s="17"/>
    </row>
    <row r="52" spans="1:4" ht="15" customHeight="1">
      <c r="B52" s="16" t="s">
        <v>125</v>
      </c>
      <c r="C52" s="76">
        <v>2.76</v>
      </c>
    </row>
    <row r="53" spans="1:4" ht="15.75" customHeight="1">
      <c r="B53" s="16" t="s">
        <v>126</v>
      </c>
      <c r="C53" s="76">
        <v>5.2961999999999998</v>
      </c>
    </row>
    <row r="54" spans="1:4" ht="15.75" customHeight="1">
      <c r="B54" s="16" t="s">
        <v>127</v>
      </c>
      <c r="C54" s="76">
        <v>4.8879999999999999</v>
      </c>
    </row>
    <row r="55" spans="1:4" ht="15.75" customHeight="1">
      <c r="B55" s="16" t="s">
        <v>128</v>
      </c>
      <c r="C55" s="76">
        <v>3.2707999999999999</v>
      </c>
    </row>
    <row r="57" spans="1:4" ht="15.75" customHeight="1">
      <c r="A57" s="12" t="s">
        <v>134</v>
      </c>
    </row>
    <row r="58" spans="1:4" ht="15.75" customHeight="1">
      <c r="B58" s="7" t="s">
        <v>111</v>
      </c>
      <c r="C58" s="70">
        <v>2.1000000000000001E-2</v>
      </c>
    </row>
    <row r="59" spans="1:4" ht="15.75" customHeight="1">
      <c r="B59" s="16" t="s">
        <v>132</v>
      </c>
      <c r="C59" s="70">
        <v>0.65</v>
      </c>
    </row>
    <row r="63" spans="1:4" ht="15.75" customHeight="1">
      <c r="A63" s="4"/>
    </row>
  </sheetData>
  <sheetProtection password="CA9F" sheet="1" scenarios="1" selectLockedCells="1"/>
  <pageMargins left="0.75" right="0.75" top="1" bottom="1" header="0.5" footer="0.5"/>
  <pageSetup paperSize="9" orientation="portrait" horizontalDpi="4294967292" verticalDpi="4294967292"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249977111117893"/>
  </sheetPr>
  <dimension ref="A1:E9"/>
  <sheetViews>
    <sheetView zoomScale="135" workbookViewId="0">
      <selection activeCell="C2" sqref="C2:E6"/>
    </sheetView>
  </sheetViews>
  <sheetFormatPr defaultColWidth="10.81640625" defaultRowHeight="15.5"/>
  <cols>
    <col min="1" max="1" width="18.6328125" style="55" customWidth="1"/>
    <col min="2" max="16384" width="10.81640625" style="55"/>
  </cols>
  <sheetData>
    <row r="1" spans="1:5" ht="52.5">
      <c r="A1" s="60" t="s">
        <v>194</v>
      </c>
      <c r="B1" s="59" t="s">
        <v>177</v>
      </c>
      <c r="C1" s="59" t="s">
        <v>176</v>
      </c>
      <c r="D1" s="59" t="s">
        <v>175</v>
      </c>
      <c r="E1" s="59" t="s">
        <v>174</v>
      </c>
    </row>
    <row r="2" spans="1:5">
      <c r="A2" s="58" t="s">
        <v>164</v>
      </c>
      <c r="B2" s="57" t="s">
        <v>32</v>
      </c>
      <c r="C2" s="86">
        <f>1.5*0.61</f>
        <v>0.91500000000000004</v>
      </c>
      <c r="D2" s="86">
        <v>3.78</v>
      </c>
      <c r="E2" s="86">
        <v>0.05</v>
      </c>
    </row>
    <row r="3" spans="1:5">
      <c r="A3" s="57"/>
      <c r="B3" s="57" t="s">
        <v>1</v>
      </c>
      <c r="C3" s="86">
        <f>1.5*0.61</f>
        <v>0.91500000000000004</v>
      </c>
      <c r="D3" s="86">
        <f t="shared" ref="D3:D6" si="0">10.49/4</f>
        <v>2.6225000000000001</v>
      </c>
      <c r="E3" s="86">
        <v>0.05</v>
      </c>
    </row>
    <row r="4" spans="1:5">
      <c r="A4" s="57"/>
      <c r="B4" s="57" t="s">
        <v>2</v>
      </c>
      <c r="C4" s="86">
        <f>1.5*0.61</f>
        <v>0.91500000000000004</v>
      </c>
      <c r="D4" s="86">
        <f t="shared" si="0"/>
        <v>2.6225000000000001</v>
      </c>
      <c r="E4" s="86">
        <v>0.05</v>
      </c>
    </row>
    <row r="5" spans="1:5">
      <c r="A5" s="57"/>
      <c r="B5" s="57" t="s">
        <v>3</v>
      </c>
      <c r="C5" s="86">
        <f>1.5*0.61</f>
        <v>0.91500000000000004</v>
      </c>
      <c r="D5" s="86">
        <f t="shared" si="0"/>
        <v>2.6225000000000001</v>
      </c>
      <c r="E5" s="86">
        <v>0.05</v>
      </c>
    </row>
    <row r="6" spans="1:5">
      <c r="A6" s="57"/>
      <c r="B6" s="57" t="s">
        <v>4</v>
      </c>
      <c r="C6" s="86">
        <f>1.5*0.61</f>
        <v>0.91500000000000004</v>
      </c>
      <c r="D6" s="86">
        <f t="shared" si="0"/>
        <v>2.6225000000000001</v>
      </c>
      <c r="E6" s="86">
        <v>0.05</v>
      </c>
    </row>
    <row r="9" spans="1:5">
      <c r="C9" s="56"/>
    </row>
  </sheetData>
  <sheetProtection algorithmName="SHA-512" hashValue="YkAilk8U5+WtZR6nCkfDN8ui35T9ch6F4SSGibHKz/fgd0cR7PN7XzCjrZgYy30yo3z4WSXsLO+I4aha1E8L9A==" saltValue="EovjrZ5MFBvM1LapaFAkZA==" spinCount="100000" sheet="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sheetPr>
  <dimension ref="A1:C20"/>
  <sheetViews>
    <sheetView zoomScale="115" zoomScaleNormal="115" workbookViewId="0">
      <selection activeCell="B4" sqref="B4"/>
    </sheetView>
  </sheetViews>
  <sheetFormatPr defaultColWidth="11.453125" defaultRowHeight="12.5"/>
  <cols>
    <col min="1" max="1" width="53" style="52" bestFit="1" customWidth="1"/>
    <col min="2" max="2" width="47.81640625" style="35" customWidth="1"/>
    <col min="3" max="3" width="42.453125" style="35" customWidth="1"/>
    <col min="4" max="16384" width="11.453125" style="35"/>
  </cols>
  <sheetData>
    <row r="1" spans="1:3" ht="13">
      <c r="A1" s="40" t="s">
        <v>69</v>
      </c>
      <c r="B1" s="40" t="s">
        <v>180</v>
      </c>
      <c r="C1" s="40" t="s">
        <v>179</v>
      </c>
    </row>
    <row r="2" spans="1:3">
      <c r="A2" s="87" t="s">
        <v>187</v>
      </c>
      <c r="B2" s="84" t="s">
        <v>59</v>
      </c>
      <c r="C2" s="84"/>
    </row>
    <row r="3" spans="1:3">
      <c r="A3" s="87" t="s">
        <v>208</v>
      </c>
      <c r="B3" s="84" t="s">
        <v>59</v>
      </c>
      <c r="C3" s="84"/>
    </row>
    <row r="4" spans="1:3">
      <c r="A4" s="88" t="s">
        <v>58</v>
      </c>
      <c r="B4" s="84" t="s">
        <v>136</v>
      </c>
      <c r="C4" s="84"/>
    </row>
    <row r="5" spans="1:3">
      <c r="A5" s="88" t="s">
        <v>137</v>
      </c>
      <c r="B5" s="84" t="s">
        <v>136</v>
      </c>
      <c r="C5" s="84"/>
    </row>
    <row r="6" spans="1:3">
      <c r="A6" s="88"/>
      <c r="B6" s="89"/>
      <c r="C6" s="89"/>
    </row>
    <row r="7" spans="1:3">
      <c r="A7" s="88"/>
      <c r="B7" s="89"/>
      <c r="C7" s="89"/>
    </row>
    <row r="8" spans="1:3">
      <c r="A8" s="88"/>
      <c r="B8" s="89"/>
      <c r="C8" s="89"/>
    </row>
    <row r="9" spans="1:3">
      <c r="A9" s="88"/>
      <c r="B9" s="89"/>
      <c r="C9" s="89"/>
    </row>
    <row r="10" spans="1:3">
      <c r="A10" s="88"/>
      <c r="B10" s="89"/>
      <c r="C10" s="89"/>
    </row>
    <row r="11" spans="1:3">
      <c r="A11" s="90"/>
      <c r="B11" s="89"/>
      <c r="C11" s="89"/>
    </row>
    <row r="12" spans="1:3">
      <c r="A12" s="90"/>
      <c r="B12" s="89"/>
      <c r="C12" s="89"/>
    </row>
    <row r="13" spans="1:3">
      <c r="A13" s="90"/>
      <c r="B13" s="89"/>
      <c r="C13" s="89"/>
    </row>
    <row r="14" spans="1:3">
      <c r="A14" s="90"/>
      <c r="B14" s="89"/>
      <c r="C14" s="89"/>
    </row>
    <row r="15" spans="1:3">
      <c r="A15" s="90"/>
      <c r="B15" s="89"/>
      <c r="C15" s="89"/>
    </row>
    <row r="16" spans="1:3">
      <c r="A16" s="90"/>
      <c r="B16" s="89"/>
      <c r="C16" s="89"/>
    </row>
    <row r="17" spans="1:3">
      <c r="A17" s="90"/>
      <c r="B17" s="89"/>
      <c r="C17" s="89"/>
    </row>
    <row r="18" spans="1:3">
      <c r="A18" s="90"/>
      <c r="B18" s="89"/>
      <c r="C18" s="89"/>
    </row>
    <row r="19" spans="1:3">
      <c r="A19" s="88"/>
      <c r="B19" s="89"/>
      <c r="C19" s="89"/>
    </row>
    <row r="20" spans="1:3">
      <c r="A20" s="88"/>
      <c r="B20" s="89"/>
      <c r="C20" s="89"/>
    </row>
  </sheetData>
  <sheetProtection algorithmName="SHA-512" hashValue="mJIhFbJiXwMDYdaTQpBnnIuyYOuT68NH0zRKA9hB05n6uZvdwWxrgEXuFwGJ+96DUDA/ASxdRlcLT7WZRHSmMg==" saltValue="bb4cIfhca5ee56tuIEArcQ==" spinCount="100000" sheet="1" scenarios="1" selectLockedCells="1"/>
  <pageMargins left="0.7" right="0.7" top="0.75" bottom="0.75" header="0.3" footer="0.3"/>
  <pageSetup paperSize="9" orientation="portrait" horizontalDpi="0" verticalDpi="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A19"/>
  <sheetViews>
    <sheetView workbookViewId="0">
      <selection activeCell="A6" sqref="A6"/>
    </sheetView>
  </sheetViews>
  <sheetFormatPr defaultColWidth="11.453125" defaultRowHeight="12.5"/>
  <cols>
    <col min="1" max="1" width="30.08984375" style="35" customWidth="1"/>
    <col min="2" max="16384" width="11.453125" style="35"/>
  </cols>
  <sheetData>
    <row r="1" spans="1:1" ht="13">
      <c r="A1" s="40" t="s">
        <v>69</v>
      </c>
    </row>
    <row r="2" spans="1:1">
      <c r="A2" s="48" t="s">
        <v>197</v>
      </c>
    </row>
    <row r="3" spans="1:1">
      <c r="A3" s="48" t="s">
        <v>57</v>
      </c>
    </row>
    <row r="4" spans="1:1">
      <c r="A4" s="48" t="s">
        <v>34</v>
      </c>
    </row>
    <row r="5" spans="1:1">
      <c r="A5" s="48" t="s">
        <v>83</v>
      </c>
    </row>
    <row r="6" spans="1:1">
      <c r="A6" s="48" t="s">
        <v>82</v>
      </c>
    </row>
    <row r="7" spans="1:1">
      <c r="A7" s="48" t="s">
        <v>81</v>
      </c>
    </row>
    <row r="8" spans="1:1">
      <c r="A8" s="48" t="s">
        <v>79</v>
      </c>
    </row>
    <row r="9" spans="1:1">
      <c r="A9" s="48" t="s">
        <v>80</v>
      </c>
    </row>
    <row r="10" spans="1:1">
      <c r="A10" s="48"/>
    </row>
    <row r="11" spans="1:1">
      <c r="A11" s="48"/>
    </row>
    <row r="12" spans="1:1">
      <c r="A12" s="48"/>
    </row>
    <row r="13" spans="1:1">
      <c r="A13" s="48"/>
    </row>
    <row r="14" spans="1:1">
      <c r="A14" s="48"/>
    </row>
    <row r="15" spans="1:1">
      <c r="A15" s="48"/>
    </row>
    <row r="16" spans="1:1">
      <c r="A16" s="48"/>
    </row>
    <row r="17" spans="1:1">
      <c r="A17" s="48"/>
    </row>
    <row r="18" spans="1:1">
      <c r="A18" s="48"/>
    </row>
    <row r="19" spans="1:1">
      <c r="A19" s="48"/>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F4"/>
  <sheetViews>
    <sheetView workbookViewId="0">
      <selection activeCell="C2" sqref="C2"/>
    </sheetView>
  </sheetViews>
  <sheetFormatPr defaultColWidth="14.453125" defaultRowHeight="15.75" customHeight="1"/>
  <sheetData>
    <row r="1" spans="1:6" ht="15.75" customHeight="1">
      <c r="A1" s="3" t="s">
        <v>25</v>
      </c>
      <c r="B1" t="s">
        <v>1</v>
      </c>
      <c r="C1" t="s">
        <v>2</v>
      </c>
      <c r="D1" t="s">
        <v>3</v>
      </c>
      <c r="E1" t="s">
        <v>4</v>
      </c>
      <c r="F1" t="s">
        <v>5</v>
      </c>
    </row>
    <row r="2" spans="1:6" ht="15.75" customHeight="1">
      <c r="A2" s="3" t="s">
        <v>71</v>
      </c>
      <c r="B2" s="26">
        <f>'Baseline year population inputs'!C51</f>
        <v>2.76</v>
      </c>
      <c r="C2" s="26" t="e">
        <f>'Baseline year population inputs'!#REF!</f>
        <v>#REF!</v>
      </c>
      <c r="D2" s="26">
        <f>'Baseline year population inputs'!C53</f>
        <v>5.2961999999999998</v>
      </c>
      <c r="E2" s="26">
        <f>'Baseline year population inputs'!C54</f>
        <v>4.8879999999999999</v>
      </c>
      <c r="F2" s="26">
        <f>'Baseline year population inputs'!C55</f>
        <v>3.2707999999999999</v>
      </c>
    </row>
    <row r="3" spans="1:6" ht="15.75" customHeight="1">
      <c r="A3" s="3" t="s">
        <v>65</v>
      </c>
      <c r="B3" s="26">
        <f>frac_mam_1month * 2.6</f>
        <v>0.28600000000000003</v>
      </c>
      <c r="C3" s="26">
        <f>frac_mam_1_5months * 2.6</f>
        <v>0.23399999999999999</v>
      </c>
      <c r="D3" s="26">
        <f>frac_mam_6_11months * 2.6</f>
        <v>0.36400000000000005</v>
      </c>
      <c r="E3" s="26">
        <f>frac_mam_12_23months * 2.6</f>
        <v>0.34943999999999997</v>
      </c>
      <c r="F3" s="26">
        <f>frac_mam_24_59months * 2.6</f>
        <v>0.12740000000000001</v>
      </c>
    </row>
    <row r="4" spans="1:6" ht="15.75" customHeight="1">
      <c r="A4" s="3" t="s">
        <v>66</v>
      </c>
      <c r="B4" s="26">
        <f>frac_sam_1month * 2.6</f>
        <v>0.25688</v>
      </c>
      <c r="C4" s="26">
        <f>frac_sam_1_5months * 2.6</f>
        <v>0.13467999999999999</v>
      </c>
      <c r="D4" s="26">
        <f>frac_sam_6_11months * 2.6</f>
        <v>0.12740000000000001</v>
      </c>
      <c r="E4" s="26">
        <f>frac_sam_12_23months * 2.6</f>
        <v>0.11699999999999999</v>
      </c>
      <c r="F4" s="26">
        <f>frac_sam_24_59months * 2.6</f>
        <v>4.1600000000000005E-2</v>
      </c>
    </row>
  </sheetData>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A1:O39"/>
  <sheetViews>
    <sheetView topLeftCell="A17" zoomScale="177" zoomScaleNormal="118" workbookViewId="0">
      <selection activeCell="J14" sqref="J14"/>
    </sheetView>
  </sheetViews>
  <sheetFormatPr defaultColWidth="14.453125" defaultRowHeight="15.75" customHeight="1"/>
  <cols>
    <col min="1" max="1" width="20" bestFit="1" customWidth="1"/>
    <col min="2" max="2" width="45.81640625" customWidth="1"/>
    <col min="3" max="3" width="8.453125" bestFit="1" customWidth="1"/>
    <col min="4" max="4" width="10" bestFit="1" customWidth="1"/>
    <col min="5" max="5" width="10.81640625" bestFit="1" customWidth="1"/>
    <col min="6" max="7" width="11.81640625" bestFit="1" customWidth="1"/>
    <col min="8" max="11" width="13.81640625" bestFit="1" customWidth="1"/>
    <col min="12" max="15" width="15.08984375" bestFit="1" customWidth="1"/>
  </cols>
  <sheetData>
    <row r="1" spans="1:15" ht="15.75" customHeight="1">
      <c r="A1" s="4" t="s">
        <v>33</v>
      </c>
      <c r="B1" s="1" t="s">
        <v>69</v>
      </c>
      <c r="C1" s="4" t="s">
        <v>1</v>
      </c>
      <c r="D1" s="4" t="s">
        <v>2</v>
      </c>
      <c r="E1" s="4" t="s">
        <v>3</v>
      </c>
      <c r="F1" s="4" t="s">
        <v>4</v>
      </c>
      <c r="G1" s="4" t="s">
        <v>5</v>
      </c>
      <c r="H1" s="4" t="s">
        <v>53</v>
      </c>
      <c r="I1" s="4" t="s">
        <v>54</v>
      </c>
      <c r="J1" s="4" t="s">
        <v>55</v>
      </c>
      <c r="K1" s="4" t="s">
        <v>56</v>
      </c>
      <c r="L1" s="4" t="s">
        <v>49</v>
      </c>
      <c r="M1" s="4" t="s">
        <v>50</v>
      </c>
      <c r="N1" s="4" t="s">
        <v>51</v>
      </c>
      <c r="O1" s="4" t="s">
        <v>52</v>
      </c>
    </row>
    <row r="2" spans="1:15" ht="15.75" customHeight="1">
      <c r="A2" s="4" t="s">
        <v>31</v>
      </c>
      <c r="B2" s="11" t="s">
        <v>61</v>
      </c>
      <c r="C2" s="91">
        <v>0</v>
      </c>
      <c r="D2" s="91">
        <f>food_insecure</f>
        <v>0.23</v>
      </c>
      <c r="E2" s="91">
        <f>food_insecure</f>
        <v>0.23</v>
      </c>
      <c r="F2" s="91">
        <f>food_insecure</f>
        <v>0.23</v>
      </c>
      <c r="G2" s="91">
        <f>food_insecure</f>
        <v>0.23</v>
      </c>
      <c r="H2" s="92">
        <v>0</v>
      </c>
      <c r="I2" s="92">
        <v>0</v>
      </c>
      <c r="J2" s="92">
        <v>0</v>
      </c>
      <c r="K2" s="92">
        <v>0</v>
      </c>
      <c r="L2" s="92">
        <v>0</v>
      </c>
      <c r="M2" s="92">
        <v>0</v>
      </c>
      <c r="N2" s="92">
        <v>0</v>
      </c>
      <c r="O2" s="92">
        <v>0</v>
      </c>
    </row>
    <row r="3" spans="1:15" ht="15.75" customHeight="1">
      <c r="B3" s="7" t="s">
        <v>149</v>
      </c>
      <c r="C3" s="91">
        <v>1</v>
      </c>
      <c r="D3" s="91">
        <v>0</v>
      </c>
      <c r="E3" s="91">
        <v>0</v>
      </c>
      <c r="F3" s="91">
        <v>0</v>
      </c>
      <c r="G3" s="91">
        <v>0</v>
      </c>
      <c r="H3" s="92">
        <v>0</v>
      </c>
      <c r="I3" s="92">
        <v>0</v>
      </c>
      <c r="J3" s="92">
        <v>0</v>
      </c>
      <c r="K3" s="92">
        <v>0</v>
      </c>
      <c r="L3" s="92">
        <v>0</v>
      </c>
      <c r="M3" s="92">
        <v>0</v>
      </c>
      <c r="N3" s="92">
        <v>0</v>
      </c>
      <c r="O3" s="92">
        <v>0</v>
      </c>
    </row>
    <row r="4" spans="1:15" ht="15.75" customHeight="1">
      <c r="B4" s="7" t="s">
        <v>195</v>
      </c>
      <c r="C4" s="91">
        <v>1</v>
      </c>
      <c r="D4" s="91">
        <v>0</v>
      </c>
      <c r="E4" s="91">
        <v>0</v>
      </c>
      <c r="F4" s="91">
        <v>0</v>
      </c>
      <c r="G4" s="91">
        <v>0</v>
      </c>
      <c r="H4" s="92">
        <v>0</v>
      </c>
      <c r="I4" s="92">
        <v>0</v>
      </c>
      <c r="J4" s="92">
        <v>0</v>
      </c>
      <c r="K4" s="92">
        <v>0</v>
      </c>
      <c r="L4" s="92">
        <v>0</v>
      </c>
      <c r="M4" s="92">
        <v>0</v>
      </c>
      <c r="N4" s="92">
        <v>0</v>
      </c>
      <c r="O4" s="92">
        <v>0</v>
      </c>
    </row>
    <row r="5" spans="1:15" ht="15.75" customHeight="1">
      <c r="B5" s="11" t="s">
        <v>136</v>
      </c>
      <c r="C5" s="91">
        <v>0</v>
      </c>
      <c r="D5" s="91">
        <v>0</v>
      </c>
      <c r="E5" s="91">
        <f>food_insecure</f>
        <v>0.23</v>
      </c>
      <c r="F5" s="91">
        <f>food_insecure</f>
        <v>0.23</v>
      </c>
      <c r="G5" s="91">
        <v>0</v>
      </c>
      <c r="H5" s="92">
        <v>0</v>
      </c>
      <c r="I5" s="92">
        <v>0</v>
      </c>
      <c r="J5" s="92">
        <v>0</v>
      </c>
      <c r="K5" s="92">
        <v>0</v>
      </c>
      <c r="L5" s="92">
        <v>0</v>
      </c>
      <c r="M5" s="92">
        <v>0</v>
      </c>
      <c r="N5" s="92">
        <v>0</v>
      </c>
      <c r="O5" s="92">
        <v>0</v>
      </c>
    </row>
    <row r="6" spans="1:15" ht="15.75" customHeight="1">
      <c r="B6" s="11" t="s">
        <v>137</v>
      </c>
      <c r="C6" s="91">
        <v>0</v>
      </c>
      <c r="D6" s="91">
        <v>0</v>
      </c>
      <c r="E6" s="91">
        <f>1</f>
        <v>1</v>
      </c>
      <c r="F6" s="91">
        <f>1</f>
        <v>1</v>
      </c>
      <c r="G6" s="91">
        <f>1</f>
        <v>1</v>
      </c>
      <c r="H6" s="92">
        <v>0</v>
      </c>
      <c r="I6" s="92">
        <v>0</v>
      </c>
      <c r="J6" s="92">
        <v>0</v>
      </c>
      <c r="K6" s="92">
        <v>0</v>
      </c>
      <c r="L6" s="92">
        <v>0</v>
      </c>
      <c r="M6" s="92">
        <v>0</v>
      </c>
      <c r="N6" s="92">
        <v>0</v>
      </c>
      <c r="O6" s="92">
        <v>0</v>
      </c>
    </row>
    <row r="7" spans="1:15" ht="15.75" customHeight="1">
      <c r="B7" s="33" t="s">
        <v>84</v>
      </c>
      <c r="C7" s="91">
        <f>diarrhoea_1mo/26</f>
        <v>0.10615384615384614</v>
      </c>
      <c r="D7" s="91" t="e">
        <f>diarrhoea_1_5mo/26</f>
        <v>#REF!</v>
      </c>
      <c r="E7" s="91">
        <f>diarrhoea_6_11mo/26</f>
        <v>0.20369999999999999</v>
      </c>
      <c r="F7" s="91">
        <f>diarrhoea_12_23mo/26</f>
        <v>0.188</v>
      </c>
      <c r="G7" s="91">
        <f>diarrhoea_24_59mo/26</f>
        <v>0.1258</v>
      </c>
      <c r="H7" s="92">
        <v>0</v>
      </c>
      <c r="I7" s="92">
        <v>0</v>
      </c>
      <c r="J7" s="92">
        <v>0</v>
      </c>
      <c r="K7" s="92">
        <v>0</v>
      </c>
      <c r="L7" s="92">
        <v>0</v>
      </c>
      <c r="M7" s="92">
        <v>0</v>
      </c>
      <c r="N7" s="92">
        <v>0</v>
      </c>
      <c r="O7" s="92">
        <v>0</v>
      </c>
    </row>
    <row r="8" spans="1:15" ht="15.75" customHeight="1">
      <c r="B8" s="11" t="s">
        <v>58</v>
      </c>
      <c r="C8" s="91">
        <v>0</v>
      </c>
      <c r="D8" s="91">
        <v>0</v>
      </c>
      <c r="E8" s="91">
        <f>food_insecure</f>
        <v>0.23</v>
      </c>
      <c r="F8" s="91">
        <f>food_insecure</f>
        <v>0.23</v>
      </c>
      <c r="G8" s="91">
        <v>0</v>
      </c>
      <c r="H8" s="92">
        <v>0</v>
      </c>
      <c r="I8" s="92">
        <v>0</v>
      </c>
      <c r="J8" s="92">
        <v>0</v>
      </c>
      <c r="K8" s="92">
        <v>0</v>
      </c>
      <c r="L8" s="92">
        <v>0</v>
      </c>
      <c r="M8" s="92">
        <v>0</v>
      </c>
      <c r="N8" s="92">
        <v>0</v>
      </c>
      <c r="O8" s="92">
        <v>0</v>
      </c>
    </row>
    <row r="9" spans="1:15" ht="15.75" customHeight="1">
      <c r="B9" s="11" t="s">
        <v>67</v>
      </c>
      <c r="C9" s="91">
        <v>0</v>
      </c>
      <c r="D9" s="91">
        <f>IF(ISBLANK(comm_deliv), frac_children_health_facility,1)</f>
        <v>0.32</v>
      </c>
      <c r="E9" s="91">
        <f>IF(ISBLANK(comm_deliv), frac_children_health_facility,1)</f>
        <v>0.32</v>
      </c>
      <c r="F9" s="91">
        <f>IF(ISBLANK(comm_deliv), frac_children_health_facility,1)</f>
        <v>0.32</v>
      </c>
      <c r="G9" s="91">
        <f>IF(ISBLANK(comm_deliv), frac_children_health_facility,1)</f>
        <v>0.32</v>
      </c>
      <c r="H9" s="92">
        <v>0</v>
      </c>
      <c r="I9" s="92">
        <v>0</v>
      </c>
      <c r="J9" s="92">
        <v>0</v>
      </c>
      <c r="K9" s="92">
        <v>0</v>
      </c>
      <c r="L9" s="92">
        <v>0</v>
      </c>
      <c r="M9" s="92">
        <v>0</v>
      </c>
      <c r="N9" s="92">
        <v>0</v>
      </c>
      <c r="O9" s="92">
        <v>0</v>
      </c>
    </row>
    <row r="10" spans="1:15" ht="15" customHeight="1">
      <c r="B10" s="11" t="s">
        <v>28</v>
      </c>
      <c r="C10" s="91">
        <v>0</v>
      </c>
      <c r="D10" s="91">
        <v>0</v>
      </c>
      <c r="E10" s="91">
        <v>1</v>
      </c>
      <c r="F10" s="91">
        <v>1</v>
      </c>
      <c r="G10" s="91">
        <v>1</v>
      </c>
      <c r="H10" s="92">
        <v>0</v>
      </c>
      <c r="I10" s="92">
        <v>0</v>
      </c>
      <c r="J10" s="92">
        <v>0</v>
      </c>
      <c r="K10" s="92">
        <v>0</v>
      </c>
      <c r="L10" s="92">
        <v>0</v>
      </c>
      <c r="M10" s="92">
        <v>0</v>
      </c>
      <c r="N10" s="92">
        <v>0</v>
      </c>
      <c r="O10" s="92">
        <v>0</v>
      </c>
    </row>
    <row r="11" spans="1:15" ht="15.75" customHeight="1">
      <c r="B11" s="33" t="s">
        <v>85</v>
      </c>
      <c r="C11" s="91">
        <f>diarrhoea_1mo/26</f>
        <v>0.10615384615384614</v>
      </c>
      <c r="D11" s="91" t="e">
        <f>diarrhoea_1_5mo/26</f>
        <v>#REF!</v>
      </c>
      <c r="E11" s="91">
        <f>diarrhoea_6_11mo/26</f>
        <v>0.20369999999999999</v>
      </c>
      <c r="F11" s="91">
        <f>diarrhoea_12_23mo/26</f>
        <v>0.188</v>
      </c>
      <c r="G11" s="91">
        <f>diarrhoea_24_59mo/26</f>
        <v>0.1258</v>
      </c>
      <c r="H11" s="92">
        <v>0</v>
      </c>
      <c r="I11" s="92">
        <v>0</v>
      </c>
      <c r="J11" s="92">
        <v>0</v>
      </c>
      <c r="K11" s="92">
        <v>0</v>
      </c>
      <c r="L11" s="92">
        <v>0</v>
      </c>
      <c r="M11" s="92">
        <v>0</v>
      </c>
      <c r="N11" s="92">
        <v>0</v>
      </c>
      <c r="O11" s="92">
        <v>0</v>
      </c>
    </row>
    <row r="12" spans="1:15" ht="15.75" customHeight="1">
      <c r="B12" s="11" t="s">
        <v>60</v>
      </c>
      <c r="C12" s="91">
        <v>0</v>
      </c>
      <c r="D12" s="91">
        <v>0</v>
      </c>
      <c r="E12" s="91">
        <v>1</v>
      </c>
      <c r="F12" s="91">
        <v>1</v>
      </c>
      <c r="G12" s="91">
        <v>1</v>
      </c>
      <c r="H12" s="92">
        <v>0</v>
      </c>
      <c r="I12" s="92">
        <v>0</v>
      </c>
      <c r="J12" s="92">
        <v>0</v>
      </c>
      <c r="K12" s="92">
        <v>0</v>
      </c>
      <c r="L12" s="92">
        <v>0</v>
      </c>
      <c r="M12" s="92">
        <v>0</v>
      </c>
      <c r="N12" s="92">
        <v>0</v>
      </c>
      <c r="O12" s="92">
        <v>0</v>
      </c>
    </row>
    <row r="13" spans="1:15" ht="15.75" customHeight="1">
      <c r="B13" s="33"/>
    </row>
    <row r="14" spans="1:15" ht="15.75" customHeight="1">
      <c r="A14" s="4" t="s">
        <v>32</v>
      </c>
      <c r="B14" s="33" t="s">
        <v>29</v>
      </c>
      <c r="C14" s="92">
        <v>0</v>
      </c>
      <c r="D14" s="92">
        <v>0</v>
      </c>
      <c r="E14" s="92">
        <v>0</v>
      </c>
      <c r="F14" s="92">
        <v>0</v>
      </c>
      <c r="G14" s="92">
        <v>0</v>
      </c>
      <c r="H14" s="91">
        <f>food_insecure</f>
        <v>0.23</v>
      </c>
      <c r="I14" s="91">
        <f>food_insecure</f>
        <v>0.23</v>
      </c>
      <c r="J14" s="91">
        <f>food_insecure</f>
        <v>0.23</v>
      </c>
      <c r="K14" s="91">
        <f>food_insecure</f>
        <v>0.23</v>
      </c>
      <c r="L14" s="92">
        <v>0</v>
      </c>
      <c r="M14" s="92">
        <v>0</v>
      </c>
      <c r="N14" s="92">
        <v>0</v>
      </c>
      <c r="O14" s="92">
        <v>0</v>
      </c>
    </row>
    <row r="15" spans="1:15" ht="15.75" customHeight="1">
      <c r="A15" s="4"/>
      <c r="B15" s="11" t="s">
        <v>86</v>
      </c>
      <c r="C15" s="92">
        <v>0</v>
      </c>
      <c r="D15" s="92">
        <v>0</v>
      </c>
      <c r="E15" s="92">
        <v>0</v>
      </c>
      <c r="F15" s="92">
        <v>0</v>
      </c>
      <c r="G15" s="92">
        <v>0</v>
      </c>
      <c r="H15" s="91">
        <v>1</v>
      </c>
      <c r="I15" s="91">
        <v>1</v>
      </c>
      <c r="J15" s="91">
        <v>1</v>
      </c>
      <c r="K15" s="91">
        <v>1</v>
      </c>
      <c r="L15" s="92">
        <v>0</v>
      </c>
      <c r="M15" s="92">
        <v>0</v>
      </c>
      <c r="N15" s="92">
        <v>0</v>
      </c>
      <c r="O15" s="92">
        <v>0</v>
      </c>
    </row>
    <row r="16" spans="1:15" ht="15.75" customHeight="1">
      <c r="A16" s="4"/>
      <c r="B16" s="11" t="s">
        <v>187</v>
      </c>
      <c r="C16" s="92">
        <v>0</v>
      </c>
      <c r="D16" s="92">
        <v>0</v>
      </c>
      <c r="E16" s="92">
        <v>0</v>
      </c>
      <c r="F16" s="92">
        <v>0</v>
      </c>
      <c r="G16" s="92">
        <v>0</v>
      </c>
      <c r="H16" s="91">
        <f xml:space="preserve"> 1</f>
        <v>1</v>
      </c>
      <c r="I16" s="91">
        <f xml:space="preserve"> 1</f>
        <v>1</v>
      </c>
      <c r="J16" s="91">
        <f xml:space="preserve"> 1</f>
        <v>1</v>
      </c>
      <c r="K16" s="91">
        <f xml:space="preserve"> 1</f>
        <v>1</v>
      </c>
      <c r="L16" s="92">
        <v>0</v>
      </c>
      <c r="M16" s="92">
        <v>0</v>
      </c>
      <c r="N16" s="92">
        <v>0</v>
      </c>
      <c r="O16" s="92">
        <v>0</v>
      </c>
    </row>
    <row r="17" spans="1:15" ht="15.75" customHeight="1">
      <c r="A17" s="4"/>
      <c r="B17" s="11" t="s">
        <v>208</v>
      </c>
      <c r="C17" s="92">
        <v>0</v>
      </c>
      <c r="D17" s="92">
        <v>0</v>
      </c>
      <c r="E17" s="92">
        <v>0</v>
      </c>
      <c r="F17" s="92">
        <v>0</v>
      </c>
      <c r="G17" s="92">
        <v>0</v>
      </c>
      <c r="H17" s="91">
        <f>frac_PW_health_facility</f>
        <v>0.46</v>
      </c>
      <c r="I17" s="91">
        <f>frac_PW_health_facility</f>
        <v>0.46</v>
      </c>
      <c r="J17" s="91">
        <f>frac_PW_health_facility</f>
        <v>0.46</v>
      </c>
      <c r="K17" s="91">
        <f>frac_PW_health_facility</f>
        <v>0.46</v>
      </c>
      <c r="L17" s="92">
        <v>0</v>
      </c>
      <c r="M17" s="92">
        <v>0</v>
      </c>
      <c r="N17" s="92">
        <v>0</v>
      </c>
      <c r="O17" s="92">
        <v>0</v>
      </c>
    </row>
    <row r="18" spans="1:15" ht="15" customHeight="1">
      <c r="B18" s="33" t="s">
        <v>57</v>
      </c>
      <c r="C18" s="92">
        <v>0</v>
      </c>
      <c r="D18" s="92">
        <v>0</v>
      </c>
      <c r="E18" s="92">
        <v>0</v>
      </c>
      <c r="F18" s="92">
        <v>0</v>
      </c>
      <c r="G18" s="92">
        <v>0</v>
      </c>
      <c r="H18" s="91">
        <f>frac_malaria_risk</f>
        <v>0.96</v>
      </c>
      <c r="I18" s="91">
        <f>frac_malaria_risk</f>
        <v>0.96</v>
      </c>
      <c r="J18" s="91">
        <f>frac_malaria_risk</f>
        <v>0.96</v>
      </c>
      <c r="K18" s="91">
        <f>frac_malaria_risk</f>
        <v>0.96</v>
      </c>
      <c r="L18" s="92">
        <v>0</v>
      </c>
      <c r="M18" s="92">
        <v>0</v>
      </c>
      <c r="N18" s="92">
        <v>0</v>
      </c>
      <c r="O18" s="92">
        <v>0</v>
      </c>
    </row>
    <row r="19" spans="1:15" ht="15.75" customHeight="1">
      <c r="B19" s="11" t="s">
        <v>88</v>
      </c>
      <c r="C19" s="92">
        <v>0</v>
      </c>
      <c r="D19" s="92">
        <v>0</v>
      </c>
      <c r="E19" s="92">
        <v>0</v>
      </c>
      <c r="F19" s="92">
        <v>0</v>
      </c>
      <c r="G19" s="92">
        <v>0</v>
      </c>
      <c r="H19" s="91">
        <v>1</v>
      </c>
      <c r="I19" s="91">
        <v>1</v>
      </c>
      <c r="J19" s="91">
        <v>1</v>
      </c>
      <c r="K19" s="91">
        <v>1</v>
      </c>
      <c r="L19" s="92">
        <v>0</v>
      </c>
      <c r="M19" s="92">
        <v>0</v>
      </c>
      <c r="N19" s="92">
        <v>0</v>
      </c>
      <c r="O19" s="92">
        <v>0</v>
      </c>
    </row>
    <row r="20" spans="1:15" ht="15.75" customHeight="1">
      <c r="B20" s="11" t="s">
        <v>87</v>
      </c>
      <c r="C20" s="92">
        <v>0</v>
      </c>
      <c r="D20" s="92">
        <v>0</v>
      </c>
      <c r="E20" s="92">
        <v>0</v>
      </c>
      <c r="F20" s="92">
        <v>0</v>
      </c>
      <c r="G20" s="92">
        <v>0</v>
      </c>
      <c r="H20" s="91">
        <v>1</v>
      </c>
      <c r="I20" s="91">
        <v>1</v>
      </c>
      <c r="J20" s="91">
        <v>1</v>
      </c>
      <c r="K20" s="91">
        <v>1</v>
      </c>
      <c r="L20" s="92">
        <v>0</v>
      </c>
      <c r="M20" s="92">
        <v>0</v>
      </c>
      <c r="N20" s="92">
        <v>0</v>
      </c>
      <c r="O20" s="92">
        <v>0</v>
      </c>
    </row>
    <row r="21" spans="1:15" ht="15.75" customHeight="1">
      <c r="B21" s="33" t="s">
        <v>59</v>
      </c>
      <c r="C21" s="92">
        <v>0</v>
      </c>
      <c r="D21" s="92">
        <v>0</v>
      </c>
      <c r="E21" s="92">
        <v>0</v>
      </c>
      <c r="F21" s="92">
        <v>0</v>
      </c>
      <c r="G21" s="92">
        <v>0</v>
      </c>
      <c r="H21" s="91">
        <f>1</f>
        <v>1</v>
      </c>
      <c r="I21" s="91">
        <f>1</f>
        <v>1</v>
      </c>
      <c r="J21" s="91">
        <f>1</f>
        <v>1</v>
      </c>
      <c r="K21" s="91">
        <f>1</f>
        <v>1</v>
      </c>
      <c r="L21" s="92">
        <v>0</v>
      </c>
      <c r="M21" s="92">
        <v>0</v>
      </c>
      <c r="N21" s="92">
        <v>0</v>
      </c>
      <c r="O21" s="92">
        <v>0</v>
      </c>
    </row>
    <row r="22" spans="1:15" ht="15.75" customHeight="1">
      <c r="B22" s="33"/>
    </row>
    <row r="23" spans="1:15" ht="15.75" customHeight="1">
      <c r="A23" s="62" t="s">
        <v>37</v>
      </c>
      <c r="B23" s="63" t="s">
        <v>197</v>
      </c>
      <c r="C23" s="92">
        <v>0</v>
      </c>
      <c r="D23" s="92">
        <v>0</v>
      </c>
      <c r="E23" s="92">
        <v>0</v>
      </c>
      <c r="F23" s="92">
        <v>0</v>
      </c>
      <c r="G23" s="92">
        <v>0</v>
      </c>
      <c r="H23" s="92">
        <v>0</v>
      </c>
      <c r="I23" s="92">
        <v>0</v>
      </c>
      <c r="J23" s="92">
        <v>0</v>
      </c>
      <c r="K23" s="92">
        <v>0</v>
      </c>
      <c r="L23" s="91">
        <f>famplan_unmet_need</f>
        <v>0.189</v>
      </c>
      <c r="M23" s="91">
        <f>famplan_unmet_need</f>
        <v>0.189</v>
      </c>
      <c r="N23" s="91">
        <f>famplan_unmet_need</f>
        <v>0.189</v>
      </c>
      <c r="O23" s="91">
        <f>famplan_unmet_need</f>
        <v>0.189</v>
      </c>
    </row>
    <row r="24" spans="1:15" ht="15.75" customHeight="1">
      <c r="B24" s="63" t="s">
        <v>188</v>
      </c>
      <c r="C24" s="92">
        <v>0</v>
      </c>
      <c r="D24" s="92">
        <v>0</v>
      </c>
      <c r="E24" s="92">
        <v>0</v>
      </c>
      <c r="F24" s="92">
        <v>0</v>
      </c>
      <c r="G24" s="92">
        <v>0</v>
      </c>
      <c r="H24" s="92">
        <v>0</v>
      </c>
      <c r="I24" s="92">
        <v>0</v>
      </c>
      <c r="J24" s="92">
        <v>0</v>
      </c>
      <c r="K24" s="92">
        <v>0</v>
      </c>
      <c r="L24" s="91">
        <f>(1-food_insecure)*(0.49)*(1-school_attendance) + food_insecure*(0.7)*(1-school_attendance)</f>
        <v>0.27453300000000003</v>
      </c>
      <c r="M24" s="91">
        <f>(1-food_insecure)*(0.49)+food_insecure*(0.7)</f>
        <v>0.5383</v>
      </c>
      <c r="N24" s="91">
        <f>(1-food_insecure)*(0.49)+food_insecure*(0.7)</f>
        <v>0.5383</v>
      </c>
      <c r="O24" s="91">
        <f>(1-food_insecure)*(0.49)+food_insecure*(0.7)</f>
        <v>0.5383</v>
      </c>
    </row>
    <row r="25" spans="1:15" ht="15.75" customHeight="1">
      <c r="B25" s="63" t="s">
        <v>207</v>
      </c>
      <c r="C25" s="92">
        <v>0</v>
      </c>
      <c r="D25" s="92">
        <v>0</v>
      </c>
      <c r="E25" s="92">
        <v>0</v>
      </c>
      <c r="F25" s="92">
        <v>0</v>
      </c>
      <c r="G25" s="92">
        <v>0</v>
      </c>
      <c r="H25" s="92">
        <v>0</v>
      </c>
      <c r="I25" s="92">
        <v>0</v>
      </c>
      <c r="J25" s="92">
        <v>0</v>
      </c>
      <c r="K25" s="92">
        <v>0</v>
      </c>
      <c r="L25" s="91">
        <f>(1-food_insecure)*(0.21)*(1-school_attendance) + food_insecure*(0.3)*(1-school_attendance)</f>
        <v>0.11765700000000001</v>
      </c>
      <c r="M25" s="91">
        <f>(1-food_insecure)*(0.21)+food_insecure*(0.3)</f>
        <v>0.23070000000000002</v>
      </c>
      <c r="N25" s="91">
        <f>(1-food_insecure)*(0.21)+food_insecure*(0.3)</f>
        <v>0.23070000000000002</v>
      </c>
      <c r="O25" s="91">
        <f>(1-food_insecure)*(0.21)+food_insecure*(0.3)</f>
        <v>0.23070000000000002</v>
      </c>
    </row>
    <row r="26" spans="1:15" ht="15.75" customHeight="1">
      <c r="B26" s="63" t="s">
        <v>189</v>
      </c>
      <c r="C26" s="92">
        <v>0</v>
      </c>
      <c r="D26" s="92">
        <v>0</v>
      </c>
      <c r="E26" s="92">
        <v>0</v>
      </c>
      <c r="F26" s="92">
        <v>0</v>
      </c>
      <c r="G26" s="92">
        <v>0</v>
      </c>
      <c r="H26" s="92">
        <v>0</v>
      </c>
      <c r="I26" s="92">
        <v>0</v>
      </c>
      <c r="J26" s="92">
        <v>0</v>
      </c>
      <c r="K26" s="92">
        <v>0</v>
      </c>
      <c r="L26" s="91">
        <f>(1-food_insecure)*(0.3)*(1-school_attendance)</f>
        <v>0.11781</v>
      </c>
      <c r="M26" s="91">
        <f>(1-food_insecure)*(0.3)</f>
        <v>0.23099999999999998</v>
      </c>
      <c r="N26" s="91">
        <f>(1-food_insecure)*(0.3)</f>
        <v>0.23099999999999998</v>
      </c>
      <c r="O26" s="91">
        <f>(1-food_insecure)*(0.3)</f>
        <v>0.23099999999999998</v>
      </c>
    </row>
    <row r="27" spans="1:15" ht="15.75" customHeight="1">
      <c r="B27" s="63" t="s">
        <v>190</v>
      </c>
      <c r="C27" s="92">
        <v>0</v>
      </c>
      <c r="D27" s="92">
        <v>0</v>
      </c>
      <c r="E27" s="92">
        <v>0</v>
      </c>
      <c r="F27" s="92">
        <v>0</v>
      </c>
      <c r="G27" s="92">
        <v>0</v>
      </c>
      <c r="H27" s="92">
        <v>0</v>
      </c>
      <c r="I27" s="92">
        <v>0</v>
      </c>
      <c r="J27" s="92">
        <v>0</v>
      </c>
      <c r="K27" s="92">
        <v>0</v>
      </c>
      <c r="L27" s="91">
        <f>(1-food_insecure)*1*school_attendance + food_insecure*1*school_attendance</f>
        <v>0.49000000000000005</v>
      </c>
      <c r="M27" s="91">
        <v>0</v>
      </c>
      <c r="N27" s="91">
        <v>0</v>
      </c>
      <c r="O27" s="91">
        <v>0</v>
      </c>
    </row>
    <row r="28" spans="1:15" ht="15.75" customHeight="1">
      <c r="B28" s="11"/>
      <c r="C28" s="2"/>
      <c r="D28" s="2"/>
      <c r="E28" s="10"/>
      <c r="F28" s="10"/>
      <c r="G28" s="10"/>
      <c r="H28" s="10"/>
      <c r="I28" s="10"/>
    </row>
    <row r="29" spans="1:15" ht="15.75" customHeight="1">
      <c r="A29" s="4" t="s">
        <v>35</v>
      </c>
      <c r="B29" s="11" t="s">
        <v>63</v>
      </c>
      <c r="C29" s="91">
        <v>0</v>
      </c>
      <c r="D29" s="91">
        <v>0</v>
      </c>
      <c r="E29" s="91">
        <f t="shared" ref="E29:O29" si="0">frac_maize</f>
        <v>0.2</v>
      </c>
      <c r="F29" s="91">
        <f t="shared" si="0"/>
        <v>0.2</v>
      </c>
      <c r="G29" s="91">
        <f t="shared" si="0"/>
        <v>0.2</v>
      </c>
      <c r="H29" s="91">
        <f t="shared" si="0"/>
        <v>0.2</v>
      </c>
      <c r="I29" s="91">
        <f t="shared" si="0"/>
        <v>0.2</v>
      </c>
      <c r="J29" s="91">
        <f t="shared" si="0"/>
        <v>0.2</v>
      </c>
      <c r="K29" s="91">
        <f t="shared" si="0"/>
        <v>0.2</v>
      </c>
      <c r="L29" s="91">
        <f t="shared" si="0"/>
        <v>0.2</v>
      </c>
      <c r="M29" s="91">
        <f t="shared" si="0"/>
        <v>0.2</v>
      </c>
      <c r="N29" s="91">
        <f t="shared" si="0"/>
        <v>0.2</v>
      </c>
      <c r="O29" s="91">
        <f t="shared" si="0"/>
        <v>0.2</v>
      </c>
    </row>
    <row r="30" spans="1:15" ht="15.75" customHeight="1">
      <c r="B30" s="11" t="s">
        <v>64</v>
      </c>
      <c r="C30" s="91">
        <v>0</v>
      </c>
      <c r="D30" s="91">
        <v>0</v>
      </c>
      <c r="E30" s="91">
        <f t="shared" ref="E30:O30" si="1">frac_rice</f>
        <v>0.1</v>
      </c>
      <c r="F30" s="91">
        <f t="shared" si="1"/>
        <v>0.1</v>
      </c>
      <c r="G30" s="91">
        <f t="shared" si="1"/>
        <v>0.1</v>
      </c>
      <c r="H30" s="91">
        <f t="shared" si="1"/>
        <v>0.1</v>
      </c>
      <c r="I30" s="91">
        <f t="shared" si="1"/>
        <v>0.1</v>
      </c>
      <c r="J30" s="91">
        <f t="shared" si="1"/>
        <v>0.1</v>
      </c>
      <c r="K30" s="91">
        <f t="shared" si="1"/>
        <v>0.1</v>
      </c>
      <c r="L30" s="91">
        <f t="shared" si="1"/>
        <v>0.1</v>
      </c>
      <c r="M30" s="91">
        <f t="shared" si="1"/>
        <v>0.1</v>
      </c>
      <c r="N30" s="91">
        <f t="shared" si="1"/>
        <v>0.1</v>
      </c>
      <c r="O30" s="91">
        <f t="shared" si="1"/>
        <v>0.1</v>
      </c>
    </row>
    <row r="31" spans="1:15" ht="15.75" customHeight="1">
      <c r="B31" s="11" t="s">
        <v>62</v>
      </c>
      <c r="C31" s="91">
        <v>0</v>
      </c>
      <c r="D31" s="91">
        <v>0</v>
      </c>
      <c r="E31" s="91">
        <f t="shared" ref="E31:O31" si="2">frac_wheat</f>
        <v>0.03</v>
      </c>
      <c r="F31" s="91">
        <f t="shared" si="2"/>
        <v>0.03</v>
      </c>
      <c r="G31" s="91">
        <f t="shared" si="2"/>
        <v>0.03</v>
      </c>
      <c r="H31" s="91">
        <f t="shared" si="2"/>
        <v>0.03</v>
      </c>
      <c r="I31" s="91">
        <f t="shared" si="2"/>
        <v>0.03</v>
      </c>
      <c r="J31" s="91">
        <f t="shared" si="2"/>
        <v>0.03</v>
      </c>
      <c r="K31" s="91">
        <f t="shared" si="2"/>
        <v>0.03</v>
      </c>
      <c r="L31" s="91">
        <f t="shared" si="2"/>
        <v>0.03</v>
      </c>
      <c r="M31" s="91">
        <f t="shared" si="2"/>
        <v>0.03</v>
      </c>
      <c r="N31" s="91">
        <f t="shared" si="2"/>
        <v>0.03</v>
      </c>
      <c r="O31" s="91">
        <f t="shared" si="2"/>
        <v>0.03</v>
      </c>
    </row>
    <row r="32" spans="1:15" ht="15.75" customHeight="1">
      <c r="B32" s="11" t="s">
        <v>47</v>
      </c>
      <c r="C32" s="91">
        <v>0</v>
      </c>
      <c r="D32" s="91">
        <v>0</v>
      </c>
      <c r="E32" s="91">
        <v>1</v>
      </c>
      <c r="F32" s="91">
        <v>1</v>
      </c>
      <c r="G32" s="91">
        <v>1</v>
      </c>
      <c r="H32" s="91">
        <v>1</v>
      </c>
      <c r="I32" s="91">
        <v>1</v>
      </c>
      <c r="J32" s="91">
        <v>1</v>
      </c>
      <c r="K32" s="91">
        <v>1</v>
      </c>
      <c r="L32" s="91">
        <v>1</v>
      </c>
      <c r="M32" s="91">
        <v>1</v>
      </c>
      <c r="N32" s="91">
        <v>1</v>
      </c>
      <c r="O32" s="91">
        <v>1</v>
      </c>
    </row>
    <row r="33" spans="1:15" ht="15.75" customHeight="1">
      <c r="B33" s="11" t="s">
        <v>34</v>
      </c>
      <c r="C33" s="91">
        <f t="shared" ref="C33:O33" si="3">frac_malaria_risk</f>
        <v>0.96</v>
      </c>
      <c r="D33" s="91">
        <f t="shared" si="3"/>
        <v>0.96</v>
      </c>
      <c r="E33" s="91">
        <f t="shared" si="3"/>
        <v>0.96</v>
      </c>
      <c r="F33" s="91">
        <f t="shared" si="3"/>
        <v>0.96</v>
      </c>
      <c r="G33" s="91">
        <f t="shared" si="3"/>
        <v>0.96</v>
      </c>
      <c r="H33" s="91">
        <f t="shared" si="3"/>
        <v>0.96</v>
      </c>
      <c r="I33" s="91">
        <f t="shared" si="3"/>
        <v>0.96</v>
      </c>
      <c r="J33" s="91">
        <f t="shared" si="3"/>
        <v>0.96</v>
      </c>
      <c r="K33" s="91">
        <f t="shared" si="3"/>
        <v>0.96</v>
      </c>
      <c r="L33" s="91">
        <f t="shared" si="3"/>
        <v>0.96</v>
      </c>
      <c r="M33" s="91">
        <f t="shared" si="3"/>
        <v>0.96</v>
      </c>
      <c r="N33" s="91">
        <f t="shared" si="3"/>
        <v>0.96</v>
      </c>
      <c r="O33" s="91">
        <f t="shared" si="3"/>
        <v>0.96</v>
      </c>
    </row>
    <row r="34" spans="1:15" ht="15.75" customHeight="1">
      <c r="B34" s="33" t="s">
        <v>83</v>
      </c>
      <c r="C34" s="91">
        <v>1</v>
      </c>
      <c r="D34" s="91">
        <v>1</v>
      </c>
      <c r="E34" s="91">
        <v>1</v>
      </c>
      <c r="F34" s="91">
        <v>1</v>
      </c>
      <c r="G34" s="91">
        <v>1</v>
      </c>
      <c r="H34" s="91">
        <v>1</v>
      </c>
      <c r="I34" s="91">
        <v>1</v>
      </c>
      <c r="J34" s="91">
        <v>1</v>
      </c>
      <c r="K34" s="91">
        <v>1</v>
      </c>
      <c r="L34" s="91">
        <v>1</v>
      </c>
      <c r="M34" s="91">
        <v>1</v>
      </c>
      <c r="N34" s="91">
        <v>1</v>
      </c>
      <c r="O34" s="91">
        <v>1</v>
      </c>
    </row>
    <row r="35" spans="1:15" ht="15.75" customHeight="1">
      <c r="A35" s="5"/>
      <c r="B35" s="33" t="s">
        <v>82</v>
      </c>
      <c r="C35" s="91">
        <v>1</v>
      </c>
      <c r="D35" s="91">
        <v>1</v>
      </c>
      <c r="E35" s="91">
        <v>1</v>
      </c>
      <c r="F35" s="91">
        <v>1</v>
      </c>
      <c r="G35" s="91">
        <v>1</v>
      </c>
      <c r="H35" s="91">
        <v>1</v>
      </c>
      <c r="I35" s="91">
        <v>1</v>
      </c>
      <c r="J35" s="91">
        <v>1</v>
      </c>
      <c r="K35" s="91">
        <v>1</v>
      </c>
      <c r="L35" s="91">
        <v>1</v>
      </c>
      <c r="M35" s="91">
        <v>1</v>
      </c>
      <c r="N35" s="91">
        <v>1</v>
      </c>
      <c r="O35" s="91">
        <v>1</v>
      </c>
    </row>
    <row r="36" spans="1:15" s="5" customFormat="1" ht="15.75" customHeight="1">
      <c r="B36" s="33" t="s">
        <v>81</v>
      </c>
      <c r="C36" s="91">
        <v>1</v>
      </c>
      <c r="D36" s="91">
        <v>1</v>
      </c>
      <c r="E36" s="91">
        <v>1</v>
      </c>
      <c r="F36" s="91">
        <v>1</v>
      </c>
      <c r="G36" s="91">
        <v>1</v>
      </c>
      <c r="H36" s="91">
        <v>1</v>
      </c>
      <c r="I36" s="91">
        <v>1</v>
      </c>
      <c r="J36" s="91">
        <v>1</v>
      </c>
      <c r="K36" s="91">
        <v>1</v>
      </c>
      <c r="L36" s="91">
        <v>1</v>
      </c>
      <c r="M36" s="91">
        <v>1</v>
      </c>
      <c r="N36" s="91">
        <v>1</v>
      </c>
      <c r="O36" s="91">
        <v>1</v>
      </c>
    </row>
    <row r="37" spans="1:15" s="5" customFormat="1" ht="15.75" customHeight="1">
      <c r="B37" s="33" t="s">
        <v>79</v>
      </c>
      <c r="C37" s="91">
        <v>1</v>
      </c>
      <c r="D37" s="91">
        <v>1</v>
      </c>
      <c r="E37" s="91">
        <v>1</v>
      </c>
      <c r="F37" s="91">
        <v>1</v>
      </c>
      <c r="G37" s="91">
        <v>1</v>
      </c>
      <c r="H37" s="91">
        <v>1</v>
      </c>
      <c r="I37" s="91">
        <v>1</v>
      </c>
      <c r="J37" s="91">
        <v>1</v>
      </c>
      <c r="K37" s="91">
        <v>1</v>
      </c>
      <c r="L37" s="91">
        <v>1</v>
      </c>
      <c r="M37" s="91">
        <v>1</v>
      </c>
      <c r="N37" s="91">
        <v>1</v>
      </c>
      <c r="O37" s="91">
        <v>1</v>
      </c>
    </row>
    <row r="38" spans="1:15" s="5" customFormat="1" ht="15.75" customHeight="1">
      <c r="B38" s="33" t="s">
        <v>80</v>
      </c>
      <c r="C38" s="91">
        <v>1</v>
      </c>
      <c r="D38" s="91">
        <v>1</v>
      </c>
      <c r="E38" s="91">
        <v>1</v>
      </c>
      <c r="F38" s="91">
        <v>1</v>
      </c>
      <c r="G38" s="91">
        <v>1</v>
      </c>
      <c r="H38" s="91">
        <v>1</v>
      </c>
      <c r="I38" s="91">
        <v>1</v>
      </c>
      <c r="J38" s="91">
        <v>1</v>
      </c>
      <c r="K38" s="91">
        <v>1</v>
      </c>
      <c r="L38" s="91">
        <v>1</v>
      </c>
      <c r="M38" s="91">
        <v>1</v>
      </c>
      <c r="N38" s="91">
        <v>1</v>
      </c>
      <c r="O38" s="91">
        <v>1</v>
      </c>
    </row>
    <row r="39" spans="1:15" ht="15.75" customHeight="1">
      <c r="B39" s="33"/>
    </row>
  </sheetData>
  <sheetProtection algorithmName="SHA-512" hashValue="8AA2I9UZPCvjoGOxL0MMyqqXoHDNS7n4JtfrsQRho74JNJJKUigxuy0/aEjLs4m9INQV0OZqejhY0qqpkSRx4A==" saltValue="BKXFXqwFrNK8M/n7gCZbMQ==" spinCount="100000" sheet="1" scenarios="1" selectLockedCells="1"/>
  <sortState xmlns:xlrd2="http://schemas.microsoft.com/office/spreadsheetml/2017/richdata2" ref="B14:O21">
    <sortCondition ref="B14:B21"/>
  </sortState>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4"/>
  <sheetViews>
    <sheetView workbookViewId="0"/>
  </sheetViews>
  <sheetFormatPr defaultColWidth="11.453125" defaultRowHeight="12.5"/>
  <sheetData>
    <row r="1" spans="1:1">
      <c r="A1" s="12" t="s">
        <v>201</v>
      </c>
    </row>
    <row r="2" spans="1:1">
      <c r="A2" s="12" t="s">
        <v>202</v>
      </c>
    </row>
    <row r="3" spans="1:1">
      <c r="A3" s="12" t="s">
        <v>203</v>
      </c>
    </row>
    <row r="4" spans="1:1">
      <c r="A4" s="12" t="s">
        <v>204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A1:E11"/>
  <sheetViews>
    <sheetView zoomScale="125" workbookViewId="0">
      <selection activeCell="F25" sqref="F25"/>
    </sheetView>
  </sheetViews>
  <sheetFormatPr defaultColWidth="11.453125" defaultRowHeight="12.5"/>
  <cols>
    <col min="1" max="1" width="33.6328125" style="35" customWidth="1"/>
    <col min="2" max="2" width="12.453125" style="35" customWidth="1"/>
    <col min="3" max="4" width="11.453125" style="35"/>
    <col min="5" max="5" width="17.453125" style="35" customWidth="1"/>
    <col min="6" max="16384" width="11.453125" style="35"/>
  </cols>
  <sheetData>
    <row r="1" spans="1:5" ht="13">
      <c r="A1" s="40" t="s">
        <v>163</v>
      </c>
      <c r="B1" s="40" t="s">
        <v>162</v>
      </c>
      <c r="C1" s="40" t="s">
        <v>161</v>
      </c>
      <c r="D1" s="40" t="s">
        <v>160</v>
      </c>
      <c r="E1" s="40" t="s">
        <v>159</v>
      </c>
    </row>
    <row r="2" spans="1:5" ht="14">
      <c r="A2" s="39" t="s">
        <v>158</v>
      </c>
      <c r="B2" s="38">
        <v>0.9</v>
      </c>
      <c r="C2" s="37">
        <v>0.09</v>
      </c>
      <c r="D2" s="35">
        <v>0.8</v>
      </c>
      <c r="E2" s="35">
        <f t="shared" ref="E2:E10" si="0">C2*D2</f>
        <v>7.1999999999999995E-2</v>
      </c>
    </row>
    <row r="3" spans="1:5" ht="14">
      <c r="A3" s="39" t="s">
        <v>157</v>
      </c>
      <c r="B3" s="38">
        <v>1</v>
      </c>
      <c r="C3" s="37">
        <v>0.02</v>
      </c>
      <c r="D3" s="35">
        <v>1.9</v>
      </c>
      <c r="E3" s="35">
        <f t="shared" si="0"/>
        <v>3.7999999999999999E-2</v>
      </c>
    </row>
    <row r="4" spans="1:5" ht="14">
      <c r="A4" s="39" t="s">
        <v>156</v>
      </c>
      <c r="B4" s="38">
        <v>1</v>
      </c>
      <c r="C4" s="37">
        <v>0.08</v>
      </c>
      <c r="D4" s="35">
        <v>2</v>
      </c>
      <c r="E4" s="35">
        <f t="shared" si="0"/>
        <v>0.16</v>
      </c>
    </row>
    <row r="5" spans="1:5" ht="14">
      <c r="A5" s="39" t="s">
        <v>155</v>
      </c>
      <c r="B5" s="38">
        <v>1</v>
      </c>
      <c r="C5" s="37">
        <v>0.18</v>
      </c>
      <c r="D5" s="35">
        <v>0.7</v>
      </c>
      <c r="E5" s="35">
        <f t="shared" si="0"/>
        <v>0.126</v>
      </c>
    </row>
    <row r="6" spans="1:5" ht="14">
      <c r="A6" s="39" t="s">
        <v>154</v>
      </c>
      <c r="B6" s="38">
        <v>1</v>
      </c>
      <c r="C6" s="37">
        <v>0.02</v>
      </c>
      <c r="D6" s="35">
        <v>0.7</v>
      </c>
      <c r="E6" s="35">
        <f t="shared" si="0"/>
        <v>1.3999999999999999E-2</v>
      </c>
    </row>
    <row r="7" spans="1:5" ht="14">
      <c r="A7" s="39" t="s">
        <v>153</v>
      </c>
      <c r="B7" s="38">
        <v>0.93</v>
      </c>
      <c r="C7" s="37">
        <v>0.45</v>
      </c>
      <c r="D7" s="35">
        <v>0.9</v>
      </c>
      <c r="E7" s="35">
        <f t="shared" si="0"/>
        <v>0.40500000000000003</v>
      </c>
    </row>
    <row r="8" spans="1:5" ht="14">
      <c r="A8" s="39" t="s">
        <v>152</v>
      </c>
      <c r="B8" s="38">
        <v>0.5</v>
      </c>
      <c r="C8" s="37">
        <v>0.03</v>
      </c>
      <c r="D8" s="35">
        <v>0</v>
      </c>
      <c r="E8" s="35">
        <f t="shared" si="0"/>
        <v>0</v>
      </c>
    </row>
    <row r="9" spans="1:5" ht="14">
      <c r="A9" s="39" t="s">
        <v>151</v>
      </c>
      <c r="B9" s="38">
        <v>0.5</v>
      </c>
      <c r="C9" s="37">
        <v>0.11</v>
      </c>
      <c r="D9" s="35">
        <v>0</v>
      </c>
      <c r="E9" s="35">
        <f t="shared" si="0"/>
        <v>0</v>
      </c>
    </row>
    <row r="10" spans="1:5" ht="14">
      <c r="A10" s="39" t="s">
        <v>150</v>
      </c>
      <c r="B10" s="38">
        <v>0.98</v>
      </c>
      <c r="C10" s="37">
        <v>0.01</v>
      </c>
      <c r="D10" s="35">
        <v>0.6</v>
      </c>
      <c r="E10" s="35">
        <f t="shared" si="0"/>
        <v>6.0000000000000001E-3</v>
      </c>
    </row>
    <row r="11" spans="1:5">
      <c r="C11" s="36"/>
    </row>
  </sheetData>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600"/>
  </sheetPr>
  <dimension ref="A1:I40"/>
  <sheetViews>
    <sheetView zoomScale="85" zoomScaleNormal="85" workbookViewId="0">
      <selection activeCell="F16" sqref="F16"/>
    </sheetView>
  </sheetViews>
  <sheetFormatPr defaultColWidth="14.453125" defaultRowHeight="15.75" customHeight="1"/>
  <cols>
    <col min="1" max="1" width="8.453125" style="12" customWidth="1"/>
    <col min="2" max="9" width="16.81640625" style="12" customWidth="1"/>
    <col min="10" max="16384" width="14.453125" style="12"/>
  </cols>
  <sheetData>
    <row r="1" spans="1:9" s="21" customFormat="1" ht="30" customHeight="1">
      <c r="A1" s="31" t="s">
        <v>0</v>
      </c>
      <c r="B1" s="25" t="s">
        <v>112</v>
      </c>
      <c r="C1" s="23" t="s">
        <v>49</v>
      </c>
      <c r="D1" s="23" t="s">
        <v>50</v>
      </c>
      <c r="E1" s="23" t="s">
        <v>51</v>
      </c>
      <c r="F1" s="23" t="s">
        <v>52</v>
      </c>
      <c r="G1" s="23" t="s">
        <v>113</v>
      </c>
      <c r="H1" s="23" t="s">
        <v>130</v>
      </c>
      <c r="I1" s="23" t="s">
        <v>36</v>
      </c>
    </row>
    <row r="2" spans="1:9" ht="15.75" customHeight="1">
      <c r="A2" s="7">
        <f>start_year</f>
        <v>2019</v>
      </c>
      <c r="B2" s="77">
        <v>7345089</v>
      </c>
      <c r="C2" s="93">
        <v>8988916.9196301997</v>
      </c>
      <c r="D2" s="93">
        <v>15457909.7229714</v>
      </c>
      <c r="E2" s="93">
        <v>12819747.874394</v>
      </c>
      <c r="F2" s="93">
        <v>8031767.4830043996</v>
      </c>
      <c r="G2" s="22">
        <f t="shared" ref="G2:G40" si="0">C2+D2+E2+F2</f>
        <v>45298342</v>
      </c>
      <c r="H2" s="22">
        <f t="shared" ref="H2:H40" si="1">(B2 + stillbirth*B2/(1000-stillbirth))/(1-abortion)</f>
        <v>8820962.0989047848</v>
      </c>
      <c r="I2" s="22">
        <f>G2-H2</f>
        <v>36477379.901095212</v>
      </c>
    </row>
    <row r="3" spans="1:9" ht="15.75" customHeight="1">
      <c r="A3" s="7">
        <f t="shared" ref="A3:A40" si="2">IF($A$2+ROW(A3)-2&lt;=end_year,A2+1,"")</f>
        <v>2020</v>
      </c>
      <c r="B3" s="77">
        <v>7489113</v>
      </c>
      <c r="C3" s="93">
        <v>9256320.7922185007</v>
      </c>
      <c r="D3" s="93">
        <v>15917754.3248295</v>
      </c>
      <c r="E3" s="93">
        <v>13201111.976195</v>
      </c>
      <c r="F3" s="93">
        <v>8270697.9067569999</v>
      </c>
      <c r="G3" s="22">
        <f t="shared" si="0"/>
        <v>46645885</v>
      </c>
      <c r="H3" s="22">
        <f t="shared" si="1"/>
        <v>8993925.3190009147</v>
      </c>
      <c r="I3" s="22">
        <f t="shared" ref="I3:I15" si="3">G3-H3</f>
        <v>37651959.680999085</v>
      </c>
    </row>
    <row r="4" spans="1:9" ht="15.75" customHeight="1">
      <c r="A4" s="7">
        <f t="shared" si="2"/>
        <v>2021</v>
      </c>
      <c r="B4" s="77">
        <v>7631388</v>
      </c>
      <c r="C4" s="93">
        <v>9524265.2101911996</v>
      </c>
      <c r="D4" s="93">
        <v>16378528.482698401</v>
      </c>
      <c r="E4" s="93">
        <v>13583246.989064001</v>
      </c>
      <c r="F4" s="93">
        <v>8510111.3180464003</v>
      </c>
      <c r="G4" s="22">
        <f t="shared" si="0"/>
        <v>47996152</v>
      </c>
      <c r="H4" s="22">
        <f t="shared" si="1"/>
        <v>9164788.1067250222</v>
      </c>
      <c r="I4" s="22">
        <f t="shared" si="3"/>
        <v>38831363.893274978</v>
      </c>
    </row>
    <row r="5" spans="1:9" ht="15.75" customHeight="1">
      <c r="A5" s="7">
        <f t="shared" si="2"/>
        <v>2022</v>
      </c>
      <c r="B5" s="77">
        <v>7789403</v>
      </c>
      <c r="C5" s="93">
        <v>9799516.9127583001</v>
      </c>
      <c r="D5" s="93">
        <v>16851868.7090481</v>
      </c>
      <c r="E5" s="93">
        <v>13975803.451701</v>
      </c>
      <c r="F5" s="93">
        <v>8756053.9264925998</v>
      </c>
      <c r="G5" s="22">
        <f t="shared" si="0"/>
        <v>49383243</v>
      </c>
      <c r="H5" s="22">
        <f t="shared" si="1"/>
        <v>9354553.5848640129</v>
      </c>
      <c r="I5" s="22">
        <f t="shared" si="3"/>
        <v>40028689.415135987</v>
      </c>
    </row>
    <row r="6" spans="1:9" ht="15.75" customHeight="1">
      <c r="A6" s="7">
        <f t="shared" si="2"/>
        <v>2023</v>
      </c>
      <c r="B6" s="77">
        <v>7932133</v>
      </c>
      <c r="C6" s="93">
        <v>10081632.9860806</v>
      </c>
      <c r="D6" s="93">
        <v>17337013.341244202</v>
      </c>
      <c r="E6" s="93">
        <v>14378149.692482</v>
      </c>
      <c r="F6" s="93">
        <v>9008129.9801931996</v>
      </c>
      <c r="G6" s="22">
        <f t="shared" si="0"/>
        <v>50804926</v>
      </c>
      <c r="H6" s="22">
        <f t="shared" si="1"/>
        <v>9525962.7972475085</v>
      </c>
      <c r="I6" s="22">
        <f t="shared" si="3"/>
        <v>41278963.202752493</v>
      </c>
    </row>
    <row r="7" spans="1:9" ht="15.75" customHeight="1">
      <c r="A7" s="7">
        <f t="shared" si="2"/>
        <v>2024</v>
      </c>
      <c r="B7" s="77">
        <v>8100750</v>
      </c>
      <c r="C7" s="93">
        <v>10370936.090508699</v>
      </c>
      <c r="D7" s="93">
        <v>17834517.246420901</v>
      </c>
      <c r="E7" s="93">
        <v>14790745.880789001</v>
      </c>
      <c r="F7" s="93">
        <v>9266627.7822814006</v>
      </c>
      <c r="G7" s="22">
        <f t="shared" si="0"/>
        <v>52262827</v>
      </c>
      <c r="H7" s="22">
        <f t="shared" si="1"/>
        <v>9728460.570416905</v>
      </c>
      <c r="I7" s="22">
        <f t="shared" si="3"/>
        <v>42534366.429583095</v>
      </c>
    </row>
    <row r="8" spans="1:9" ht="15.75" customHeight="1">
      <c r="A8" s="7">
        <f t="shared" si="2"/>
        <v>2025</v>
      </c>
      <c r="B8" s="77">
        <v>8261984</v>
      </c>
      <c r="C8" s="93">
        <v>10667696.3002967</v>
      </c>
      <c r="D8" s="93">
        <v>18344844.861336902</v>
      </c>
      <c r="E8" s="93">
        <v>15213977.189149</v>
      </c>
      <c r="F8" s="93">
        <v>9531788.6492174007</v>
      </c>
      <c r="G8" s="22">
        <f t="shared" si="0"/>
        <v>53758307</v>
      </c>
      <c r="H8" s="22">
        <f t="shared" si="1"/>
        <v>9922091.8529044017</v>
      </c>
      <c r="I8" s="22">
        <f t="shared" si="3"/>
        <v>43836215.147095598</v>
      </c>
    </row>
    <row r="9" spans="1:9" ht="15.75" customHeight="1">
      <c r="A9" s="7" t="str">
        <f t="shared" si="2"/>
        <v/>
      </c>
      <c r="B9" s="77"/>
      <c r="C9" s="78"/>
      <c r="D9" s="78"/>
      <c r="E9" s="78"/>
      <c r="F9" s="78"/>
      <c r="G9" s="22">
        <f t="shared" si="0"/>
        <v>0</v>
      </c>
      <c r="H9" s="22">
        <f t="shared" si="1"/>
        <v>0</v>
      </c>
      <c r="I9" s="22">
        <f t="shared" si="3"/>
        <v>0</v>
      </c>
    </row>
    <row r="10" spans="1:9" ht="15.75" customHeight="1">
      <c r="A10" s="7" t="str">
        <f t="shared" si="2"/>
        <v/>
      </c>
      <c r="B10" s="77"/>
      <c r="C10" s="78"/>
      <c r="D10" s="78"/>
      <c r="E10" s="78"/>
      <c r="F10" s="78"/>
      <c r="G10" s="22">
        <f t="shared" si="0"/>
        <v>0</v>
      </c>
      <c r="H10" s="22">
        <f t="shared" si="1"/>
        <v>0</v>
      </c>
      <c r="I10" s="22">
        <f t="shared" si="3"/>
        <v>0</v>
      </c>
    </row>
    <row r="11" spans="1:9" ht="15.75" customHeight="1">
      <c r="A11" s="7" t="str">
        <f t="shared" si="2"/>
        <v/>
      </c>
      <c r="B11" s="77"/>
      <c r="C11" s="78"/>
      <c r="D11" s="78"/>
      <c r="E11" s="78"/>
      <c r="F11" s="78"/>
      <c r="G11" s="22">
        <f t="shared" si="0"/>
        <v>0</v>
      </c>
      <c r="H11" s="22">
        <f t="shared" si="1"/>
        <v>0</v>
      </c>
      <c r="I11" s="22">
        <f t="shared" si="3"/>
        <v>0</v>
      </c>
    </row>
    <row r="12" spans="1:9" ht="15.75" customHeight="1">
      <c r="A12" s="7" t="str">
        <f t="shared" si="2"/>
        <v/>
      </c>
      <c r="B12" s="77"/>
      <c r="C12" s="78"/>
      <c r="D12" s="78"/>
      <c r="E12" s="78"/>
      <c r="F12" s="78"/>
      <c r="G12" s="22">
        <f t="shared" si="0"/>
        <v>0</v>
      </c>
      <c r="H12" s="22">
        <f t="shared" si="1"/>
        <v>0</v>
      </c>
      <c r="I12" s="22">
        <f t="shared" si="3"/>
        <v>0</v>
      </c>
    </row>
    <row r="13" spans="1:9" ht="15.75" customHeight="1">
      <c r="A13" s="7" t="str">
        <f t="shared" si="2"/>
        <v/>
      </c>
      <c r="B13" s="77"/>
      <c r="C13" s="78"/>
      <c r="D13" s="78"/>
      <c r="E13" s="78"/>
      <c r="F13" s="78"/>
      <c r="G13" s="22">
        <f t="shared" si="0"/>
        <v>0</v>
      </c>
      <c r="H13" s="22">
        <f t="shared" si="1"/>
        <v>0</v>
      </c>
      <c r="I13" s="22">
        <f t="shared" si="3"/>
        <v>0</v>
      </c>
    </row>
    <row r="14" spans="1:9" ht="15.75" customHeight="1">
      <c r="A14" s="7" t="str">
        <f t="shared" si="2"/>
        <v/>
      </c>
      <c r="B14" s="77"/>
      <c r="C14" s="78"/>
      <c r="D14" s="78"/>
      <c r="E14" s="78"/>
      <c r="F14" s="78"/>
      <c r="G14" s="22">
        <f t="shared" si="0"/>
        <v>0</v>
      </c>
      <c r="H14" s="22">
        <f t="shared" si="1"/>
        <v>0</v>
      </c>
      <c r="I14" s="22">
        <f t="shared" si="3"/>
        <v>0</v>
      </c>
    </row>
    <row r="15" spans="1:9" ht="15.75" customHeight="1">
      <c r="A15" s="7" t="str">
        <f t="shared" si="2"/>
        <v/>
      </c>
      <c r="B15" s="77"/>
      <c r="C15" s="78"/>
      <c r="D15" s="78"/>
      <c r="E15" s="78"/>
      <c r="F15" s="78"/>
      <c r="G15" s="22">
        <f t="shared" si="0"/>
        <v>0</v>
      </c>
      <c r="H15" s="22">
        <f t="shared" si="1"/>
        <v>0</v>
      </c>
      <c r="I15" s="22">
        <f t="shared" si="3"/>
        <v>0</v>
      </c>
    </row>
    <row r="16" spans="1:9" ht="15.75" customHeight="1">
      <c r="A16" s="7" t="str">
        <f t="shared" si="2"/>
        <v/>
      </c>
      <c r="B16" s="77"/>
      <c r="C16" s="78"/>
      <c r="D16" s="78"/>
      <c r="E16" s="78"/>
      <c r="F16" s="78"/>
      <c r="G16" s="22">
        <f t="shared" si="0"/>
        <v>0</v>
      </c>
      <c r="H16" s="22">
        <f t="shared" si="1"/>
        <v>0</v>
      </c>
      <c r="I16" s="22">
        <f t="shared" ref="I16:I40" si="4">G16-H16</f>
        <v>0</v>
      </c>
    </row>
    <row r="17" spans="1:9" ht="15.75" customHeight="1">
      <c r="A17" s="7" t="str">
        <f t="shared" si="2"/>
        <v/>
      </c>
      <c r="B17" s="77"/>
      <c r="C17" s="78"/>
      <c r="D17" s="78"/>
      <c r="E17" s="78"/>
      <c r="F17" s="78"/>
      <c r="G17" s="22">
        <f t="shared" si="0"/>
        <v>0</v>
      </c>
      <c r="H17" s="22">
        <f t="shared" si="1"/>
        <v>0</v>
      </c>
      <c r="I17" s="22">
        <f t="shared" si="4"/>
        <v>0</v>
      </c>
    </row>
    <row r="18" spans="1:9" ht="15.75" customHeight="1">
      <c r="A18" s="7" t="str">
        <f t="shared" si="2"/>
        <v/>
      </c>
      <c r="B18" s="77"/>
      <c r="C18" s="78"/>
      <c r="D18" s="78"/>
      <c r="E18" s="78"/>
      <c r="F18" s="78"/>
      <c r="G18" s="22">
        <f t="shared" si="0"/>
        <v>0</v>
      </c>
      <c r="H18" s="22">
        <f t="shared" si="1"/>
        <v>0</v>
      </c>
      <c r="I18" s="22">
        <f t="shared" si="4"/>
        <v>0</v>
      </c>
    </row>
    <row r="19" spans="1:9" ht="15.75" customHeight="1">
      <c r="A19" s="7" t="str">
        <f t="shared" si="2"/>
        <v/>
      </c>
      <c r="B19" s="77"/>
      <c r="C19" s="78"/>
      <c r="D19" s="78"/>
      <c r="E19" s="78"/>
      <c r="F19" s="78"/>
      <c r="G19" s="22">
        <f t="shared" si="0"/>
        <v>0</v>
      </c>
      <c r="H19" s="22">
        <f t="shared" si="1"/>
        <v>0</v>
      </c>
      <c r="I19" s="22">
        <f t="shared" si="4"/>
        <v>0</v>
      </c>
    </row>
    <row r="20" spans="1:9" ht="15.75" customHeight="1">
      <c r="A20" s="7" t="str">
        <f t="shared" si="2"/>
        <v/>
      </c>
      <c r="B20" s="77"/>
      <c r="C20" s="78"/>
      <c r="D20" s="78"/>
      <c r="E20" s="78"/>
      <c r="F20" s="78"/>
      <c r="G20" s="22">
        <f t="shared" si="0"/>
        <v>0</v>
      </c>
      <c r="H20" s="22">
        <f t="shared" si="1"/>
        <v>0</v>
      </c>
      <c r="I20" s="22">
        <f t="shared" si="4"/>
        <v>0</v>
      </c>
    </row>
    <row r="21" spans="1:9" ht="15.75" customHeight="1">
      <c r="A21" s="7" t="str">
        <f t="shared" si="2"/>
        <v/>
      </c>
      <c r="B21" s="77"/>
      <c r="C21" s="78"/>
      <c r="D21" s="78"/>
      <c r="E21" s="78"/>
      <c r="F21" s="78"/>
      <c r="G21" s="22">
        <f t="shared" si="0"/>
        <v>0</v>
      </c>
      <c r="H21" s="22">
        <f t="shared" si="1"/>
        <v>0</v>
      </c>
      <c r="I21" s="22">
        <f t="shared" si="4"/>
        <v>0</v>
      </c>
    </row>
    <row r="22" spans="1:9" ht="15.75" customHeight="1">
      <c r="A22" s="7" t="str">
        <f t="shared" si="2"/>
        <v/>
      </c>
      <c r="B22" s="77"/>
      <c r="C22" s="78"/>
      <c r="D22" s="78"/>
      <c r="E22" s="78"/>
      <c r="F22" s="78"/>
      <c r="G22" s="22">
        <f t="shared" si="0"/>
        <v>0</v>
      </c>
      <c r="H22" s="22">
        <f t="shared" si="1"/>
        <v>0</v>
      </c>
      <c r="I22" s="22">
        <f t="shared" si="4"/>
        <v>0</v>
      </c>
    </row>
    <row r="23" spans="1:9" ht="15.75" customHeight="1">
      <c r="A23" s="7" t="str">
        <f t="shared" si="2"/>
        <v/>
      </c>
      <c r="B23" s="77"/>
      <c r="C23" s="78"/>
      <c r="D23" s="78"/>
      <c r="E23" s="78"/>
      <c r="F23" s="78"/>
      <c r="G23" s="22">
        <f t="shared" si="0"/>
        <v>0</v>
      </c>
      <c r="H23" s="22">
        <f t="shared" si="1"/>
        <v>0</v>
      </c>
      <c r="I23" s="22">
        <f t="shared" si="4"/>
        <v>0</v>
      </c>
    </row>
    <row r="24" spans="1:9" ht="15.75" customHeight="1">
      <c r="A24" s="7" t="str">
        <f t="shared" si="2"/>
        <v/>
      </c>
      <c r="B24" s="77"/>
      <c r="C24" s="78"/>
      <c r="D24" s="78"/>
      <c r="E24" s="78"/>
      <c r="F24" s="78"/>
      <c r="G24" s="22">
        <f t="shared" si="0"/>
        <v>0</v>
      </c>
      <c r="H24" s="22">
        <f t="shared" si="1"/>
        <v>0</v>
      </c>
      <c r="I24" s="22">
        <f t="shared" si="4"/>
        <v>0</v>
      </c>
    </row>
    <row r="25" spans="1:9" ht="15.75" customHeight="1">
      <c r="A25" s="7" t="str">
        <f t="shared" si="2"/>
        <v/>
      </c>
      <c r="B25" s="77"/>
      <c r="C25" s="78"/>
      <c r="D25" s="78"/>
      <c r="E25" s="78"/>
      <c r="F25" s="78"/>
      <c r="G25" s="22">
        <f t="shared" si="0"/>
        <v>0</v>
      </c>
      <c r="H25" s="22">
        <f t="shared" si="1"/>
        <v>0</v>
      </c>
      <c r="I25" s="22">
        <f t="shared" si="4"/>
        <v>0</v>
      </c>
    </row>
    <row r="26" spans="1:9" ht="15.75" customHeight="1">
      <c r="A26" s="7" t="str">
        <f t="shared" si="2"/>
        <v/>
      </c>
      <c r="B26" s="77"/>
      <c r="C26" s="78"/>
      <c r="D26" s="78"/>
      <c r="E26" s="78"/>
      <c r="F26" s="78"/>
      <c r="G26" s="22">
        <f t="shared" si="0"/>
        <v>0</v>
      </c>
      <c r="H26" s="22">
        <f t="shared" si="1"/>
        <v>0</v>
      </c>
      <c r="I26" s="22">
        <f t="shared" si="4"/>
        <v>0</v>
      </c>
    </row>
    <row r="27" spans="1:9" ht="15.75" customHeight="1">
      <c r="A27" s="7" t="str">
        <f t="shared" si="2"/>
        <v/>
      </c>
      <c r="B27" s="77"/>
      <c r="C27" s="78"/>
      <c r="D27" s="78"/>
      <c r="E27" s="78"/>
      <c r="F27" s="78"/>
      <c r="G27" s="22">
        <f t="shared" si="0"/>
        <v>0</v>
      </c>
      <c r="H27" s="22">
        <f t="shared" si="1"/>
        <v>0</v>
      </c>
      <c r="I27" s="22">
        <f t="shared" si="4"/>
        <v>0</v>
      </c>
    </row>
    <row r="28" spans="1:9" ht="15.75" customHeight="1">
      <c r="A28" s="7" t="str">
        <f t="shared" si="2"/>
        <v/>
      </c>
      <c r="B28" s="77"/>
      <c r="C28" s="78"/>
      <c r="D28" s="78"/>
      <c r="E28" s="78"/>
      <c r="F28" s="78"/>
      <c r="G28" s="22">
        <f t="shared" si="0"/>
        <v>0</v>
      </c>
      <c r="H28" s="22">
        <f t="shared" si="1"/>
        <v>0</v>
      </c>
      <c r="I28" s="22">
        <f t="shared" si="4"/>
        <v>0</v>
      </c>
    </row>
    <row r="29" spans="1:9" ht="15.75" customHeight="1">
      <c r="A29" s="7" t="str">
        <f t="shared" si="2"/>
        <v/>
      </c>
      <c r="B29" s="77"/>
      <c r="C29" s="78"/>
      <c r="D29" s="78"/>
      <c r="E29" s="78"/>
      <c r="F29" s="78"/>
      <c r="G29" s="22">
        <f t="shared" si="0"/>
        <v>0</v>
      </c>
      <c r="H29" s="22">
        <f t="shared" si="1"/>
        <v>0</v>
      </c>
      <c r="I29" s="22">
        <f t="shared" si="4"/>
        <v>0</v>
      </c>
    </row>
    <row r="30" spans="1:9" ht="15.75" customHeight="1">
      <c r="A30" s="7" t="str">
        <f t="shared" si="2"/>
        <v/>
      </c>
      <c r="B30" s="77"/>
      <c r="C30" s="78"/>
      <c r="D30" s="78"/>
      <c r="E30" s="78"/>
      <c r="F30" s="78"/>
      <c r="G30" s="22">
        <f t="shared" si="0"/>
        <v>0</v>
      </c>
      <c r="H30" s="22">
        <f t="shared" si="1"/>
        <v>0</v>
      </c>
      <c r="I30" s="22">
        <f t="shared" si="4"/>
        <v>0</v>
      </c>
    </row>
    <row r="31" spans="1:9" ht="15.75" customHeight="1">
      <c r="A31" s="7" t="str">
        <f t="shared" si="2"/>
        <v/>
      </c>
      <c r="B31" s="77"/>
      <c r="C31" s="78"/>
      <c r="D31" s="78"/>
      <c r="E31" s="78"/>
      <c r="F31" s="78"/>
      <c r="G31" s="22">
        <f t="shared" si="0"/>
        <v>0</v>
      </c>
      <c r="H31" s="22">
        <f t="shared" si="1"/>
        <v>0</v>
      </c>
      <c r="I31" s="22">
        <f t="shared" si="4"/>
        <v>0</v>
      </c>
    </row>
    <row r="32" spans="1:9" ht="15.75" customHeight="1">
      <c r="A32" s="7" t="str">
        <f t="shared" si="2"/>
        <v/>
      </c>
      <c r="B32" s="77"/>
      <c r="C32" s="78"/>
      <c r="D32" s="78"/>
      <c r="E32" s="78"/>
      <c r="F32" s="78"/>
      <c r="G32" s="22">
        <f t="shared" si="0"/>
        <v>0</v>
      </c>
      <c r="H32" s="22">
        <f t="shared" si="1"/>
        <v>0</v>
      </c>
      <c r="I32" s="22">
        <f t="shared" si="4"/>
        <v>0</v>
      </c>
    </row>
    <row r="33" spans="1:9" ht="15.75" customHeight="1">
      <c r="A33" s="7" t="str">
        <f t="shared" si="2"/>
        <v/>
      </c>
      <c r="B33" s="77"/>
      <c r="C33" s="78"/>
      <c r="D33" s="78"/>
      <c r="E33" s="78"/>
      <c r="F33" s="78"/>
      <c r="G33" s="22">
        <f t="shared" si="0"/>
        <v>0</v>
      </c>
      <c r="H33" s="22">
        <f t="shared" si="1"/>
        <v>0</v>
      </c>
      <c r="I33" s="22">
        <f t="shared" si="4"/>
        <v>0</v>
      </c>
    </row>
    <row r="34" spans="1:9" ht="15.75" customHeight="1">
      <c r="A34" s="7" t="str">
        <f t="shared" si="2"/>
        <v/>
      </c>
      <c r="B34" s="77"/>
      <c r="C34" s="78"/>
      <c r="D34" s="78"/>
      <c r="E34" s="78"/>
      <c r="F34" s="78"/>
      <c r="G34" s="22">
        <f t="shared" si="0"/>
        <v>0</v>
      </c>
      <c r="H34" s="22">
        <f t="shared" si="1"/>
        <v>0</v>
      </c>
      <c r="I34" s="22">
        <f t="shared" si="4"/>
        <v>0</v>
      </c>
    </row>
    <row r="35" spans="1:9" ht="15.75" customHeight="1">
      <c r="A35" s="7" t="str">
        <f t="shared" si="2"/>
        <v/>
      </c>
      <c r="B35" s="77"/>
      <c r="C35" s="78"/>
      <c r="D35" s="78"/>
      <c r="E35" s="78"/>
      <c r="F35" s="78"/>
      <c r="G35" s="22">
        <f t="shared" si="0"/>
        <v>0</v>
      </c>
      <c r="H35" s="22">
        <f t="shared" si="1"/>
        <v>0</v>
      </c>
      <c r="I35" s="22">
        <f t="shared" si="4"/>
        <v>0</v>
      </c>
    </row>
    <row r="36" spans="1:9" ht="15.75" customHeight="1">
      <c r="A36" s="7" t="str">
        <f t="shared" si="2"/>
        <v/>
      </c>
      <c r="B36" s="77"/>
      <c r="C36" s="78"/>
      <c r="D36" s="78"/>
      <c r="E36" s="78"/>
      <c r="F36" s="78"/>
      <c r="G36" s="22">
        <f t="shared" si="0"/>
        <v>0</v>
      </c>
      <c r="H36" s="22">
        <f t="shared" si="1"/>
        <v>0</v>
      </c>
      <c r="I36" s="22">
        <f t="shared" si="4"/>
        <v>0</v>
      </c>
    </row>
    <row r="37" spans="1:9" ht="15.75" customHeight="1">
      <c r="A37" s="7" t="str">
        <f t="shared" si="2"/>
        <v/>
      </c>
      <c r="B37" s="77"/>
      <c r="C37" s="78"/>
      <c r="D37" s="78"/>
      <c r="E37" s="78"/>
      <c r="F37" s="78"/>
      <c r="G37" s="22">
        <f t="shared" si="0"/>
        <v>0</v>
      </c>
      <c r="H37" s="22">
        <f t="shared" si="1"/>
        <v>0</v>
      </c>
      <c r="I37" s="22">
        <f t="shared" si="4"/>
        <v>0</v>
      </c>
    </row>
    <row r="38" spans="1:9" ht="15.75" customHeight="1">
      <c r="A38" s="7" t="str">
        <f t="shared" si="2"/>
        <v/>
      </c>
      <c r="B38" s="77"/>
      <c r="C38" s="78"/>
      <c r="D38" s="78"/>
      <c r="E38" s="78"/>
      <c r="F38" s="78"/>
      <c r="G38" s="22">
        <f t="shared" si="0"/>
        <v>0</v>
      </c>
      <c r="H38" s="22">
        <f t="shared" si="1"/>
        <v>0</v>
      </c>
      <c r="I38" s="22">
        <f t="shared" si="4"/>
        <v>0</v>
      </c>
    </row>
    <row r="39" spans="1:9" ht="15.75" customHeight="1">
      <c r="A39" s="7" t="str">
        <f t="shared" si="2"/>
        <v/>
      </c>
      <c r="B39" s="77"/>
      <c r="C39" s="78"/>
      <c r="D39" s="78"/>
      <c r="E39" s="78"/>
      <c r="F39" s="78"/>
      <c r="G39" s="22">
        <f t="shared" si="0"/>
        <v>0</v>
      </c>
      <c r="H39" s="22">
        <f t="shared" si="1"/>
        <v>0</v>
      </c>
      <c r="I39" s="22">
        <f t="shared" si="4"/>
        <v>0</v>
      </c>
    </row>
    <row r="40" spans="1:9" ht="15.75" customHeight="1">
      <c r="A40" s="7" t="str">
        <f t="shared" si="2"/>
        <v/>
      </c>
      <c r="B40" s="77"/>
      <c r="C40" s="78"/>
      <c r="D40" s="78"/>
      <c r="E40" s="78"/>
      <c r="F40" s="78"/>
      <c r="G40" s="22">
        <f t="shared" si="0"/>
        <v>0</v>
      </c>
      <c r="H40" s="22">
        <f t="shared" si="1"/>
        <v>0</v>
      </c>
      <c r="I40" s="22">
        <f t="shared" si="4"/>
        <v>0</v>
      </c>
    </row>
  </sheetData>
  <sheetProtection algorithmName="SHA-512" hashValue="aYdBg2wZFzuYdsw+2R5Kpj3oxG4ydWpsA+9umjv2ZrZGNR3DrFVe78jILH5lbdB5yp8dAKADRI/KwaaT5MJbGQ==" saltValue="6Gi1ZqL6hU77b+Ynv/VRIQ==" spinCount="100000" sheet="1" scenarios="1" selectLockedCells="1"/>
  <conditionalFormatting sqref="B9:I40 G2:I8">
    <cfRule type="expression" dxfId="1" priority="10">
      <formula>$A2=""</formula>
    </cfRule>
  </conditionalFormatting>
  <conditionalFormatting sqref="B2:F8">
    <cfRule type="expression" dxfId="0" priority="1">
      <formula>$A2=""</formula>
    </cfRule>
  </conditionalFormatting>
  <pageMargins left="0.75" right="0.75" top="1" bottom="1" header="0.5" footer="0.5"/>
  <pageSetup paperSize="9"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600"/>
  </sheetPr>
  <dimension ref="A1:H35"/>
  <sheetViews>
    <sheetView topLeftCell="A16" zoomScale="85" zoomScaleNormal="85" workbookViewId="0">
      <selection activeCell="C3" sqref="C3"/>
    </sheetView>
  </sheetViews>
  <sheetFormatPr defaultColWidth="14.453125" defaultRowHeight="15.75" customHeight="1"/>
  <cols>
    <col min="1" max="1" width="16.08984375" customWidth="1"/>
    <col min="2" max="2" width="31.36328125" customWidth="1"/>
    <col min="3" max="8" width="13" customWidth="1"/>
  </cols>
  <sheetData>
    <row r="1" spans="1:8" ht="27.75" customHeight="1">
      <c r="A1" s="4" t="str">
        <f>"Percentage of deaths in baseline year ("&amp;start_year&amp;") attributable to cause"</f>
        <v>Percentage of deaths in baseline year (2019) attributable to cause</v>
      </c>
      <c r="B1" s="41"/>
      <c r="C1" s="41"/>
      <c r="D1" s="41"/>
      <c r="E1" s="41"/>
      <c r="F1" s="41"/>
    </row>
    <row r="2" spans="1:8" ht="27.75" customHeight="1">
      <c r="A2" t="s">
        <v>210</v>
      </c>
      <c r="B2" s="41" t="s">
        <v>211</v>
      </c>
      <c r="C2" s="41" t="s">
        <v>1</v>
      </c>
      <c r="D2" s="41"/>
      <c r="E2" s="41"/>
      <c r="F2" s="41"/>
      <c r="G2" s="41"/>
    </row>
    <row r="3" spans="1:8" ht="15.75" customHeight="1">
      <c r="B3" s="24" t="s">
        <v>73</v>
      </c>
      <c r="C3" s="79">
        <v>5.11E-2</v>
      </c>
    </row>
    <row r="4" spans="1:8" ht="15.75" customHeight="1">
      <c r="B4" s="24" t="s">
        <v>7</v>
      </c>
      <c r="C4" s="79">
        <v>0.16109999999999999</v>
      </c>
    </row>
    <row r="5" spans="1:8" ht="15.75" customHeight="1">
      <c r="B5" s="24" t="s">
        <v>8</v>
      </c>
      <c r="C5" s="79">
        <v>0.26090000000000002</v>
      </c>
    </row>
    <row r="6" spans="1:8" ht="15.75" customHeight="1">
      <c r="B6" s="24" t="s">
        <v>10</v>
      </c>
      <c r="C6" s="79">
        <v>0.1295</v>
      </c>
    </row>
    <row r="7" spans="1:8" ht="15.75" customHeight="1">
      <c r="B7" s="24" t="s">
        <v>13</v>
      </c>
      <c r="C7" s="79">
        <v>0.1016</v>
      </c>
    </row>
    <row r="8" spans="1:8" ht="15.75" customHeight="1">
      <c r="B8" s="24" t="s">
        <v>14</v>
      </c>
      <c r="C8" s="79">
        <v>1.29E-2</v>
      </c>
    </row>
    <row r="9" spans="1:8" ht="15.75" customHeight="1">
      <c r="B9" s="24" t="s">
        <v>27</v>
      </c>
      <c r="C9" s="79">
        <v>0.05</v>
      </c>
    </row>
    <row r="10" spans="1:8" ht="15.75" customHeight="1">
      <c r="B10" s="24" t="s">
        <v>15</v>
      </c>
      <c r="C10" s="79">
        <v>0.23269999999999999</v>
      </c>
    </row>
    <row r="11" spans="1:8" ht="15.75" customHeight="1">
      <c r="B11" s="32" t="s">
        <v>129</v>
      </c>
      <c r="C11" s="74">
        <f>SUM(C3:C10)</f>
        <v>0.99980000000000013</v>
      </c>
      <c r="G11" s="24"/>
      <c r="H11" s="24"/>
    </row>
    <row r="12" spans="1:8" ht="15.75" customHeight="1">
      <c r="B12" s="32"/>
      <c r="C12" s="24"/>
      <c r="D12" s="24"/>
      <c r="E12" s="24"/>
      <c r="F12" s="24"/>
      <c r="G12" s="24"/>
      <c r="H12" s="24"/>
    </row>
    <row r="13" spans="1:8" ht="15.75" customHeight="1">
      <c r="A13" s="12" t="s">
        <v>31</v>
      </c>
      <c r="B13" s="41" t="s">
        <v>211</v>
      </c>
      <c r="C13" s="23" t="s">
        <v>2</v>
      </c>
      <c r="D13" s="23" t="s">
        <v>3</v>
      </c>
      <c r="E13" s="23" t="s">
        <v>4</v>
      </c>
      <c r="F13" s="23" t="s">
        <v>5</v>
      </c>
      <c r="G13" s="24"/>
    </row>
    <row r="14" spans="1:8" ht="15.75" customHeight="1">
      <c r="B14" s="24" t="s">
        <v>71</v>
      </c>
      <c r="C14" s="79">
        <v>0.23514600000000002</v>
      </c>
      <c r="D14" s="79">
        <v>0.23514600000000002</v>
      </c>
      <c r="E14" s="79">
        <v>0.23904800000000001</v>
      </c>
      <c r="F14" s="79">
        <v>0.23904800000000001</v>
      </c>
    </row>
    <row r="15" spans="1:8" ht="15.75" customHeight="1">
      <c r="B15" s="24" t="s">
        <v>16</v>
      </c>
      <c r="C15" s="79">
        <v>0.246943</v>
      </c>
      <c r="D15" s="79">
        <v>0.246943</v>
      </c>
      <c r="E15" s="79">
        <v>0.17219899999999999</v>
      </c>
      <c r="F15" s="79">
        <v>0.17219899999999999</v>
      </c>
    </row>
    <row r="16" spans="1:8" ht="15.75" customHeight="1">
      <c r="B16" s="24" t="s">
        <v>17</v>
      </c>
      <c r="C16" s="79">
        <v>7.5450000000000003E-2</v>
      </c>
      <c r="D16" s="79">
        <v>7.5450000000000003E-2</v>
      </c>
      <c r="E16" s="79">
        <v>7.0493E-2</v>
      </c>
      <c r="F16" s="79">
        <v>7.0493E-2</v>
      </c>
    </row>
    <row r="17" spans="1:8" ht="15.75" customHeight="1">
      <c r="B17" s="24" t="s">
        <v>18</v>
      </c>
      <c r="C17" s="79">
        <v>2.6284999999999999E-2</v>
      </c>
      <c r="D17" s="79">
        <v>2.6284999999999999E-2</v>
      </c>
      <c r="E17" s="79">
        <v>4.8156999999999998E-2</v>
      </c>
      <c r="F17" s="79">
        <v>4.8156999999999998E-2</v>
      </c>
    </row>
    <row r="18" spans="1:8" ht="15.75" customHeight="1">
      <c r="B18" s="24" t="s">
        <v>19</v>
      </c>
      <c r="C18" s="79">
        <v>0.122708</v>
      </c>
      <c r="D18" s="79">
        <v>0.122708</v>
      </c>
      <c r="E18" s="79">
        <v>0.23904800000000001</v>
      </c>
      <c r="F18" s="79">
        <v>0.23904800000000001</v>
      </c>
    </row>
    <row r="19" spans="1:8" ht="15.75" customHeight="1">
      <c r="B19" s="24" t="s">
        <v>20</v>
      </c>
      <c r="C19" s="79">
        <v>2.3479E-2</v>
      </c>
      <c r="D19" s="79">
        <v>2.3479E-2</v>
      </c>
      <c r="E19" s="79">
        <v>1.8281000000000002E-2</v>
      </c>
      <c r="F19" s="79">
        <v>1.8281000000000002E-2</v>
      </c>
    </row>
    <row r="20" spans="1:8" ht="15.75" customHeight="1">
      <c r="B20" s="24" t="s">
        <v>21</v>
      </c>
      <c r="C20" s="79">
        <v>4.3656E-2</v>
      </c>
      <c r="D20" s="79">
        <v>4.3656E-2</v>
      </c>
      <c r="E20" s="79">
        <v>2.1111000000000001E-2</v>
      </c>
      <c r="F20" s="79">
        <v>2.1111000000000001E-2</v>
      </c>
    </row>
    <row r="21" spans="1:8" ht="15.75" customHeight="1">
      <c r="B21" s="24" t="s">
        <v>22</v>
      </c>
      <c r="C21" s="79">
        <v>2.69468E-2</v>
      </c>
      <c r="D21" s="79">
        <v>2.69468E-2</v>
      </c>
      <c r="E21" s="79">
        <v>6.4818000000000001E-2</v>
      </c>
      <c r="F21" s="79">
        <v>6.4818000000000001E-2</v>
      </c>
    </row>
    <row r="22" spans="1:8" ht="15.75" customHeight="1">
      <c r="B22" s="24" t="s">
        <v>23</v>
      </c>
      <c r="C22" s="79">
        <v>0.19938620000000001</v>
      </c>
      <c r="D22" s="79">
        <v>0.19938620000000001</v>
      </c>
      <c r="E22" s="79">
        <v>0.12684499999999999</v>
      </c>
      <c r="F22" s="79">
        <v>0.12684499999999999</v>
      </c>
    </row>
    <row r="23" spans="1:8" ht="15.75" customHeight="1">
      <c r="B23" s="32" t="s">
        <v>129</v>
      </c>
      <c r="C23" s="74">
        <f>SUM(C14:C22)</f>
        <v>1.0000000000000002</v>
      </c>
      <c r="D23" s="74">
        <f>SUM(D14:D22)</f>
        <v>1.0000000000000002</v>
      </c>
      <c r="E23" s="74">
        <f t="shared" ref="E23:F23" si="0">SUM(E14:E22)</f>
        <v>1</v>
      </c>
      <c r="F23" s="74">
        <f t="shared" si="0"/>
        <v>1</v>
      </c>
      <c r="G23" s="24"/>
      <c r="H23" s="24"/>
    </row>
    <row r="24" spans="1:8" ht="15.75" customHeight="1">
      <c r="B24" s="32"/>
      <c r="C24" s="24"/>
      <c r="D24" s="24"/>
      <c r="E24" s="24"/>
      <c r="F24" s="24"/>
      <c r="G24" s="24"/>
      <c r="H24" s="24"/>
    </row>
    <row r="25" spans="1:8" ht="15.75" customHeight="1">
      <c r="A25" t="s">
        <v>32</v>
      </c>
      <c r="B25" s="41" t="s">
        <v>211</v>
      </c>
      <c r="C25" s="41" t="s">
        <v>32</v>
      </c>
      <c r="D25" s="24"/>
      <c r="E25" s="24"/>
      <c r="F25" s="24"/>
      <c r="G25" s="24"/>
      <c r="H25" s="24"/>
    </row>
    <row r="26" spans="1:8" ht="15.75" customHeight="1">
      <c r="B26" s="24" t="s">
        <v>38</v>
      </c>
      <c r="C26" s="79">
        <v>8.6800000000000002E-2</v>
      </c>
    </row>
    <row r="27" spans="1:8" ht="15.75" customHeight="1">
      <c r="B27" s="24" t="s">
        <v>39</v>
      </c>
      <c r="C27" s="79">
        <v>8.5000000000000006E-3</v>
      </c>
    </row>
    <row r="28" spans="1:8" ht="15.75" customHeight="1">
      <c r="B28" s="24" t="s">
        <v>40</v>
      </c>
      <c r="C28" s="79">
        <v>0.15529999999999999</v>
      </c>
    </row>
    <row r="29" spans="1:8" ht="15.75" customHeight="1">
      <c r="B29" s="24" t="s">
        <v>41</v>
      </c>
      <c r="C29" s="79">
        <v>0.16839999999999999</v>
      </c>
    </row>
    <row r="30" spans="1:8" ht="15.75" customHeight="1">
      <c r="B30" s="24" t="s">
        <v>42</v>
      </c>
      <c r="C30" s="79">
        <v>0.1052</v>
      </c>
    </row>
    <row r="31" spans="1:8" ht="15.75" customHeight="1">
      <c r="B31" s="24" t="s">
        <v>43</v>
      </c>
      <c r="C31" s="79">
        <v>0.1087</v>
      </c>
    </row>
    <row r="32" spans="1:8" ht="15.75" customHeight="1">
      <c r="B32" s="24" t="s">
        <v>44</v>
      </c>
      <c r="C32" s="79">
        <v>1.8200000000000001E-2</v>
      </c>
    </row>
    <row r="33" spans="2:3" ht="15.75" customHeight="1">
      <c r="B33" s="24" t="s">
        <v>45</v>
      </c>
      <c r="C33" s="79">
        <v>8.4099999999999994E-2</v>
      </c>
    </row>
    <row r="34" spans="2:3" ht="15.75" customHeight="1">
      <c r="B34" s="24" t="s">
        <v>46</v>
      </c>
      <c r="C34" s="79">
        <v>0.26490000000000002</v>
      </c>
    </row>
    <row r="35" spans="2:3" ht="15.75" customHeight="1">
      <c r="B35" s="32" t="s">
        <v>129</v>
      </c>
      <c r="C35" s="74">
        <f>SUM(C26:C34)</f>
        <v>1.0001</v>
      </c>
    </row>
  </sheetData>
  <sheetProtection password="CA9F" sheet="1" scenarios="1" selectLockedCells="1"/>
  <phoneticPr fontId="7" type="noConversion"/>
  <pageMargins left="0.75" right="0.75" top="1" bottom="1" header="0.5" footer="0.5"/>
  <pageSetup paperSize="9" scale="69"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600"/>
  </sheetPr>
  <dimension ref="A1:O17"/>
  <sheetViews>
    <sheetView zoomScaleNormal="70" workbookViewId="0">
      <selection activeCell="G14" sqref="G14"/>
    </sheetView>
  </sheetViews>
  <sheetFormatPr defaultColWidth="14.453125" defaultRowHeight="15.75" customHeight="1"/>
  <cols>
    <col min="1" max="1" width="31.453125" customWidth="1"/>
    <col min="2" max="2" width="24" customWidth="1"/>
  </cols>
  <sheetData>
    <row r="1" spans="1:15" ht="36" customHeight="1">
      <c r="A1" s="27" t="str">
        <f>"Percentage of population in each category in baseline year ("&amp;start_year&amp;")"</f>
        <v>Percentage of population in each category in baseline year (2019)</v>
      </c>
      <c r="B1" s="1" t="s">
        <v>6</v>
      </c>
      <c r="C1" s="16" t="s">
        <v>1</v>
      </c>
      <c r="D1" s="16" t="s">
        <v>2</v>
      </c>
      <c r="E1" s="16" t="s">
        <v>3</v>
      </c>
      <c r="F1" s="16" t="s">
        <v>4</v>
      </c>
      <c r="G1" s="16" t="s">
        <v>5</v>
      </c>
    </row>
    <row r="2" spans="1:15" ht="15.75" customHeight="1">
      <c r="A2" s="6" t="s">
        <v>115</v>
      </c>
      <c r="B2" s="11" t="s">
        <v>117</v>
      </c>
      <c r="C2" s="80">
        <v>0.65400000000000003</v>
      </c>
      <c r="D2" s="80">
        <v>0.56699999999999995</v>
      </c>
      <c r="E2" s="80">
        <v>0.47499999999999998</v>
      </c>
      <c r="F2" s="80">
        <v>0.30299999999999999</v>
      </c>
      <c r="G2" s="80">
        <v>0.29380000000000001</v>
      </c>
    </row>
    <row r="3" spans="1:15" ht="15.75" customHeight="1">
      <c r="A3" s="5"/>
      <c r="B3" s="11" t="s">
        <v>118</v>
      </c>
      <c r="C3" s="80">
        <v>0.21629999999999999</v>
      </c>
      <c r="D3" s="80">
        <v>0.20549999999999999</v>
      </c>
      <c r="E3" s="80">
        <v>0.2427</v>
      </c>
      <c r="F3" s="80">
        <v>0.2407</v>
      </c>
      <c r="G3" s="80">
        <v>0.23419999999999999</v>
      </c>
    </row>
    <row r="4" spans="1:15" ht="15.75" customHeight="1">
      <c r="A4" s="5"/>
      <c r="B4" s="11" t="s">
        <v>116</v>
      </c>
      <c r="C4" s="81">
        <v>6.2E-2</v>
      </c>
      <c r="D4" s="81">
        <v>0.13250000000000001</v>
      </c>
      <c r="E4" s="81">
        <v>0.16689999999999999</v>
      </c>
      <c r="F4" s="81">
        <v>0.21990000000000001</v>
      </c>
      <c r="G4" s="81">
        <v>0.21490000000000001</v>
      </c>
    </row>
    <row r="5" spans="1:15" ht="15.75" customHeight="1">
      <c r="A5" s="5"/>
      <c r="B5" s="11" t="s">
        <v>119</v>
      </c>
      <c r="C5" s="81">
        <v>6.59E-2</v>
      </c>
      <c r="D5" s="81">
        <v>9.4E-2</v>
      </c>
      <c r="E5" s="81">
        <v>0.114</v>
      </c>
      <c r="F5" s="81">
        <v>0.23630000000000001</v>
      </c>
      <c r="G5" s="81">
        <v>0.25690000000000002</v>
      </c>
    </row>
    <row r="6" spans="1:15" ht="15.75" customHeight="1">
      <c r="B6" s="14"/>
      <c r="C6" s="29"/>
      <c r="D6" s="29"/>
      <c r="E6" s="29"/>
      <c r="F6" s="29"/>
      <c r="G6" s="29"/>
    </row>
    <row r="7" spans="1:15" ht="15.75" customHeight="1">
      <c r="B7" s="14"/>
      <c r="C7" s="29"/>
      <c r="D7" s="29"/>
      <c r="E7" s="29"/>
      <c r="F7" s="29"/>
      <c r="G7" s="29"/>
    </row>
    <row r="8" spans="1:15" ht="15.75" customHeight="1">
      <c r="A8" s="3" t="s">
        <v>114</v>
      </c>
      <c r="B8" s="7" t="s">
        <v>120</v>
      </c>
      <c r="C8" s="80">
        <v>0.58899999999999997</v>
      </c>
      <c r="D8" s="80">
        <v>0.65600000000000003</v>
      </c>
      <c r="E8" s="80">
        <v>0.51600000000000001</v>
      </c>
      <c r="F8" s="80">
        <v>0.51700000000000002</v>
      </c>
      <c r="G8" s="80">
        <v>0.73</v>
      </c>
    </row>
    <row r="9" spans="1:15" ht="15.75" customHeight="1">
      <c r="B9" s="7" t="s">
        <v>121</v>
      </c>
      <c r="C9" s="80">
        <v>0.2011</v>
      </c>
      <c r="D9" s="80">
        <v>0.20100000000000001</v>
      </c>
      <c r="E9" s="80">
        <v>0.29320000000000002</v>
      </c>
      <c r="F9" s="80">
        <v>0.30220000000000002</v>
      </c>
      <c r="G9" s="80">
        <v>0.2039</v>
      </c>
    </row>
    <row r="10" spans="1:15" ht="15.75" customHeight="1">
      <c r="B10" s="7" t="s">
        <v>122</v>
      </c>
      <c r="C10" s="81">
        <v>0.11</v>
      </c>
      <c r="D10" s="81">
        <v>0.09</v>
      </c>
      <c r="E10" s="81">
        <v>0.14000000000000001</v>
      </c>
      <c r="F10" s="81">
        <v>0.13439999999999999</v>
      </c>
      <c r="G10" s="81">
        <v>4.9000000000000002E-2</v>
      </c>
    </row>
    <row r="11" spans="1:15" ht="15.75" customHeight="1">
      <c r="B11" s="7" t="s">
        <v>123</v>
      </c>
      <c r="C11" s="81">
        <v>9.8799999999999999E-2</v>
      </c>
      <c r="D11" s="81">
        <v>5.1799999999999999E-2</v>
      </c>
      <c r="E11" s="81">
        <v>4.9000000000000002E-2</v>
      </c>
      <c r="F11" s="81">
        <v>4.4999999999999998E-2</v>
      </c>
      <c r="G11" s="81">
        <v>1.6E-2</v>
      </c>
    </row>
    <row r="12" spans="1:15" ht="15.75" customHeight="1">
      <c r="C12" s="8"/>
      <c r="D12" s="8"/>
      <c r="E12" s="8"/>
      <c r="F12" s="8"/>
      <c r="G12" s="8"/>
      <c r="I12" s="15"/>
      <c r="J12" s="15"/>
      <c r="K12" s="15"/>
      <c r="L12" s="15"/>
      <c r="M12" s="15"/>
      <c r="N12" s="15"/>
      <c r="O12" s="15"/>
    </row>
    <row r="13" spans="1:15" ht="27" customHeight="1">
      <c r="A13" s="12" t="s">
        <v>70</v>
      </c>
      <c r="C13" s="16" t="s">
        <v>1</v>
      </c>
      <c r="D13" s="16" t="s">
        <v>2</v>
      </c>
      <c r="E13" s="16" t="s">
        <v>3</v>
      </c>
      <c r="F13" s="16" t="s">
        <v>4</v>
      </c>
      <c r="G13" s="16" t="s">
        <v>5</v>
      </c>
      <c r="H13" s="23" t="s">
        <v>53</v>
      </c>
      <c r="I13" s="23" t="s">
        <v>54</v>
      </c>
      <c r="J13" s="23" t="s">
        <v>55</v>
      </c>
      <c r="K13" s="23" t="s">
        <v>56</v>
      </c>
      <c r="L13" s="23" t="s">
        <v>49</v>
      </c>
      <c r="M13" s="23" t="s">
        <v>50</v>
      </c>
      <c r="N13" s="23" t="s">
        <v>51</v>
      </c>
      <c r="O13" s="23" t="s">
        <v>52</v>
      </c>
    </row>
    <row r="14" spans="1:15" ht="15.75" customHeight="1">
      <c r="B14" s="16" t="s">
        <v>131</v>
      </c>
      <c r="C14" s="82">
        <v>0.78300000000000003</v>
      </c>
      <c r="D14" s="82">
        <v>0.78300000000000003</v>
      </c>
      <c r="E14" s="82">
        <v>0.78300000000000003</v>
      </c>
      <c r="F14" s="82">
        <v>0.77800000000000002</v>
      </c>
      <c r="G14" s="82">
        <v>0.626</v>
      </c>
      <c r="H14" s="83">
        <v>0.57799999999999996</v>
      </c>
      <c r="I14" s="83">
        <v>0.57799999999999996</v>
      </c>
      <c r="J14" s="83">
        <v>0.57799999999999996</v>
      </c>
      <c r="K14" s="83">
        <v>0.57799999999999996</v>
      </c>
      <c r="L14" s="83">
        <v>0.60499999999999998</v>
      </c>
      <c r="M14" s="83">
        <v>0.56000000000000005</v>
      </c>
      <c r="N14" s="83">
        <v>0.58399999999999996</v>
      </c>
      <c r="O14" s="83">
        <v>0.57499999999999996</v>
      </c>
    </row>
    <row r="15" spans="1:15" ht="15.75" customHeight="1">
      <c r="B15" s="16" t="s">
        <v>68</v>
      </c>
      <c r="C15" s="80">
        <f>iron_deficiency_anaemia*C14</f>
        <v>0.50895000000000001</v>
      </c>
      <c r="D15" s="80">
        <f t="shared" ref="D15:O15" si="0">iron_deficiency_anaemia*D14</f>
        <v>0.50895000000000001</v>
      </c>
      <c r="E15" s="80">
        <f>iron_deficiency_anaemia*E14</f>
        <v>0.50895000000000001</v>
      </c>
      <c r="F15" s="80">
        <f t="shared" si="0"/>
        <v>0.50570000000000004</v>
      </c>
      <c r="G15" s="80">
        <f t="shared" si="0"/>
        <v>0.40690000000000004</v>
      </c>
      <c r="H15" s="80">
        <f t="shared" si="0"/>
        <v>0.37569999999999998</v>
      </c>
      <c r="I15" s="80">
        <f t="shared" si="0"/>
        <v>0.37569999999999998</v>
      </c>
      <c r="J15" s="80">
        <f t="shared" si="0"/>
        <v>0.37569999999999998</v>
      </c>
      <c r="K15" s="80">
        <f t="shared" si="0"/>
        <v>0.37569999999999998</v>
      </c>
      <c r="L15" s="80">
        <f t="shared" si="0"/>
        <v>0.39324999999999999</v>
      </c>
      <c r="M15" s="80">
        <f t="shared" si="0"/>
        <v>0.36400000000000005</v>
      </c>
      <c r="N15" s="80">
        <f t="shared" si="0"/>
        <v>0.37959999999999999</v>
      </c>
      <c r="O15" s="80">
        <f t="shared" si="0"/>
        <v>0.37374999999999997</v>
      </c>
    </row>
    <row r="16" spans="1:15" ht="15.75" customHeight="1">
      <c r="C16" s="8"/>
      <c r="D16" s="8"/>
      <c r="E16" s="8"/>
      <c r="F16" s="8"/>
      <c r="G16" s="8"/>
    </row>
    <row r="17" spans="3:7" ht="15.75" customHeight="1">
      <c r="C17" s="8"/>
      <c r="D17" s="8"/>
      <c r="E17" s="8"/>
      <c r="F17" s="8"/>
      <c r="G17" s="8"/>
    </row>
  </sheetData>
  <sheetProtection algorithmName="SHA-512" hashValue="UgItZ1fUYYw4jxcRhHXwNHcUu0vhqIwiw+M/NqOF+Kwcup1Gz7SX/l9bwOv86KrlD68qT5UZTPKIb6eti+eUeQ==" saltValue="m4hom2mHEDeB1snGKNG4rA==" spinCount="100000" sheet="1" scenarios="1" selectLockedCells="1"/>
  <pageMargins left="0.75" right="0.75" top="1" bottom="1" header="0.5" footer="0.5"/>
  <pageSetup paperSize="9"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600"/>
  </sheetPr>
  <dimension ref="A1:G5"/>
  <sheetViews>
    <sheetView zoomScaleNormal="100" workbookViewId="0">
      <selection activeCell="C2" sqref="C2"/>
    </sheetView>
  </sheetViews>
  <sheetFormatPr defaultColWidth="8.81640625" defaultRowHeight="12.5"/>
  <cols>
    <col min="1" max="1" width="28.81640625" customWidth="1"/>
    <col min="2" max="7" width="13.453125" customWidth="1"/>
  </cols>
  <sheetData>
    <row r="1" spans="1:7" ht="40.5" customHeight="1">
      <c r="A1" s="27" t="str">
        <f>"Percentage of children in each category in baseline year ("&amp;start_year&amp;")"</f>
        <v>Percentage of children in each category in baseline year (2019)</v>
      </c>
      <c r="B1" s="1" t="s">
        <v>6</v>
      </c>
      <c r="C1" s="12" t="s">
        <v>1</v>
      </c>
      <c r="D1" s="12" t="s">
        <v>2</v>
      </c>
      <c r="E1" s="12" t="s">
        <v>3</v>
      </c>
      <c r="F1" s="12" t="s">
        <v>4</v>
      </c>
      <c r="G1" s="12" t="s">
        <v>5</v>
      </c>
    </row>
    <row r="2" spans="1:7">
      <c r="A2" s="3" t="s">
        <v>24</v>
      </c>
      <c r="B2" s="43" t="s">
        <v>166</v>
      </c>
      <c r="C2" s="81">
        <v>0.38900000000000001</v>
      </c>
      <c r="D2" s="81">
        <v>0.23499999999999999</v>
      </c>
      <c r="E2" s="81">
        <v>2.8500000000000001E-2</v>
      </c>
      <c r="F2" s="81">
        <v>2E-3</v>
      </c>
      <c r="G2" s="81">
        <v>0</v>
      </c>
    </row>
    <row r="3" spans="1:7">
      <c r="B3" s="43" t="s">
        <v>167</v>
      </c>
      <c r="C3" s="81">
        <v>0.47799999999999998</v>
      </c>
      <c r="D3" s="81">
        <v>0.41749999999999998</v>
      </c>
      <c r="E3" s="81">
        <v>0.128</v>
      </c>
      <c r="F3" s="81">
        <v>2.5500000000000002E-2</v>
      </c>
      <c r="G3" s="81">
        <v>0</v>
      </c>
    </row>
    <row r="4" spans="1:7">
      <c r="B4" s="43" t="s">
        <v>168</v>
      </c>
      <c r="C4" s="81">
        <v>0.11899999999999999</v>
      </c>
      <c r="D4" s="81">
        <v>0.32300000000000001</v>
      </c>
      <c r="E4" s="81">
        <v>0.80600000000000005</v>
      </c>
      <c r="F4" s="81">
        <v>0.54649999999999999</v>
      </c>
      <c r="G4" s="81">
        <v>0</v>
      </c>
    </row>
    <row r="5" spans="1:7">
      <c r="B5" s="43" t="s">
        <v>169</v>
      </c>
      <c r="C5" s="80">
        <f>1-SUM(C2:C4)</f>
        <v>1.4000000000000012E-2</v>
      </c>
      <c r="D5" s="80">
        <f t="shared" ref="D5:G5" si="0">1-SUM(D2:D4)</f>
        <v>2.4499999999999966E-2</v>
      </c>
      <c r="E5" s="80">
        <f t="shared" si="0"/>
        <v>3.7499999999999978E-2</v>
      </c>
      <c r="F5" s="80">
        <f t="shared" si="0"/>
        <v>0.42600000000000005</v>
      </c>
      <c r="G5" s="80">
        <f t="shared" si="0"/>
        <v>1</v>
      </c>
    </row>
  </sheetData>
  <sheetProtection algorithmName="SHA-512" hashValue="cjZGG35skIN/87gVYPq+qku8px1GpcfbcC9VQGwmKjtdbvNEf7x1kHTHwQlPZMuOorjL/9FyNZdN8JPWk+p31Q==" saltValue="TyxzFz+E2uI3dTroZBTeAA==" spinCount="100000" sheet="1" scenarios="1" selectLockedCells="1"/>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600"/>
  </sheetPr>
  <dimension ref="A1:K14"/>
  <sheetViews>
    <sheetView zoomScale="115" zoomScaleNormal="115" workbookViewId="0">
      <selection activeCell="B14" sqref="B14"/>
    </sheetView>
  </sheetViews>
  <sheetFormatPr defaultColWidth="8.81640625" defaultRowHeight="12.5"/>
  <cols>
    <col min="1" max="1" width="37" customWidth="1"/>
    <col min="2" max="2" width="29.453125" customWidth="1"/>
  </cols>
  <sheetData>
    <row r="1" spans="1:11" ht="13">
      <c r="A1" s="4" t="s">
        <v>138</v>
      </c>
      <c r="B1" s="4" t="s">
        <v>145</v>
      </c>
      <c r="C1">
        <v>2010</v>
      </c>
      <c r="D1">
        <v>2011</v>
      </c>
      <c r="E1">
        <v>2012</v>
      </c>
      <c r="F1">
        <v>2013</v>
      </c>
      <c r="G1">
        <v>2014</v>
      </c>
      <c r="H1">
        <v>2015</v>
      </c>
      <c r="I1">
        <v>2016</v>
      </c>
      <c r="J1">
        <v>2017</v>
      </c>
      <c r="K1">
        <v>2018</v>
      </c>
    </row>
    <row r="2" spans="1:11">
      <c r="A2" t="s">
        <v>139</v>
      </c>
      <c r="B2" s="14" t="s">
        <v>143</v>
      </c>
      <c r="C2" s="28"/>
      <c r="D2" s="28"/>
      <c r="E2" s="28"/>
      <c r="F2" s="28"/>
      <c r="G2" s="28"/>
      <c r="H2" s="28"/>
      <c r="I2" s="28"/>
      <c r="J2" s="28"/>
      <c r="K2" s="28"/>
    </row>
    <row r="3" spans="1:11">
      <c r="B3" s="14"/>
    </row>
    <row r="4" spans="1:11">
      <c r="A4" t="s">
        <v>140</v>
      </c>
      <c r="B4" s="14" t="s">
        <v>143</v>
      </c>
      <c r="C4" s="28"/>
      <c r="D4" s="28"/>
      <c r="E4" s="28"/>
      <c r="F4" s="28"/>
      <c r="G4" s="28"/>
      <c r="H4" s="28"/>
      <c r="I4" s="28"/>
      <c r="J4" s="28"/>
      <c r="K4" s="28"/>
    </row>
    <row r="5" spans="1:11">
      <c r="B5" s="14"/>
    </row>
    <row r="6" spans="1:11">
      <c r="A6" t="s">
        <v>141</v>
      </c>
      <c r="B6" s="14" t="s">
        <v>143</v>
      </c>
      <c r="C6" s="28"/>
      <c r="D6" s="28"/>
      <c r="E6" s="28"/>
      <c r="F6" s="28"/>
      <c r="G6" s="28"/>
      <c r="H6" s="28"/>
      <c r="I6" s="28"/>
      <c r="J6" s="28"/>
      <c r="K6" s="28"/>
    </row>
    <row r="7" spans="1:11">
      <c r="B7" s="14" t="s">
        <v>32</v>
      </c>
      <c r="C7" s="28"/>
      <c r="D7" s="28"/>
      <c r="E7" s="28"/>
      <c r="F7" s="28"/>
      <c r="G7" s="28"/>
      <c r="H7" s="28"/>
      <c r="I7" s="28"/>
      <c r="J7" s="28"/>
      <c r="K7" s="28"/>
    </row>
    <row r="8" spans="1:11">
      <c r="B8" s="14" t="s">
        <v>144</v>
      </c>
      <c r="C8" s="28"/>
      <c r="D8" s="28"/>
      <c r="E8" s="28"/>
      <c r="F8" s="28"/>
      <c r="G8" s="28"/>
      <c r="H8" s="28"/>
      <c r="I8" s="28"/>
      <c r="J8" s="28"/>
      <c r="K8" s="28"/>
    </row>
    <row r="10" spans="1:11">
      <c r="A10" t="s">
        <v>142</v>
      </c>
      <c r="B10" s="16" t="s">
        <v>147</v>
      </c>
      <c r="C10" s="28"/>
      <c r="D10" s="28"/>
      <c r="E10" s="28"/>
      <c r="F10" s="28"/>
      <c r="G10" s="28"/>
      <c r="H10" s="28"/>
      <c r="I10" s="28"/>
      <c r="J10" s="28"/>
      <c r="K10" s="28"/>
    </row>
    <row r="11" spans="1:11">
      <c r="B11" s="34" t="s">
        <v>146</v>
      </c>
      <c r="C11" s="28"/>
      <c r="D11" s="28"/>
      <c r="E11" s="28"/>
      <c r="F11" s="28"/>
      <c r="G11" s="28"/>
      <c r="H11" s="28"/>
      <c r="I11" s="28"/>
      <c r="J11" s="28"/>
      <c r="K11" s="28"/>
    </row>
    <row r="13" spans="1:11">
      <c r="A13" s="12" t="s">
        <v>74</v>
      </c>
      <c r="B13" s="34" t="s">
        <v>148</v>
      </c>
      <c r="C13" s="28"/>
      <c r="D13" s="28"/>
      <c r="E13" s="28"/>
      <c r="F13" s="28"/>
      <c r="G13" s="28"/>
      <c r="H13" s="28"/>
      <c r="I13" s="28"/>
      <c r="J13" s="28"/>
      <c r="K13" s="28"/>
    </row>
    <row r="14" spans="1:11">
      <c r="B14" s="16" t="s">
        <v>170</v>
      </c>
      <c r="C14" s="28"/>
      <c r="D14" s="28"/>
      <c r="E14" s="28"/>
      <c r="F14" s="28"/>
      <c r="G14" s="28"/>
      <c r="H14" s="28"/>
      <c r="I14" s="28"/>
      <c r="J14" s="28"/>
      <c r="K14" s="28"/>
    </row>
  </sheetData>
  <pageMargins left="0.7" right="0.7" top="0.75" bottom="0.75" header="0.3" footer="0.3"/>
  <pageSetup paperSize="19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A1:E21"/>
  <sheetViews>
    <sheetView zoomScaleNormal="100" workbookViewId="0">
      <selection activeCell="E14" sqref="E14"/>
    </sheetView>
  </sheetViews>
  <sheetFormatPr defaultColWidth="11.453125" defaultRowHeight="12.5"/>
  <cols>
    <col min="1" max="1" width="17" style="35" customWidth="1"/>
    <col min="2" max="2" width="19.08984375" style="35" customWidth="1"/>
    <col min="3" max="3" width="13.453125" style="35" customWidth="1"/>
    <col min="4" max="16384" width="11.453125" style="35"/>
  </cols>
  <sheetData>
    <row r="1" spans="1:5" ht="13">
      <c r="A1" s="50" t="s">
        <v>178</v>
      </c>
      <c r="B1" s="51" t="s">
        <v>177</v>
      </c>
      <c r="C1" s="51" t="s">
        <v>176</v>
      </c>
      <c r="D1" s="51" t="s">
        <v>175</v>
      </c>
      <c r="E1" s="51" t="s">
        <v>174</v>
      </c>
    </row>
    <row r="2" spans="1:5" ht="13">
      <c r="A2" s="49" t="s">
        <v>173</v>
      </c>
      <c r="B2" s="46" t="s">
        <v>32</v>
      </c>
      <c r="C2" s="84" t="b">
        <v>1</v>
      </c>
      <c r="D2" s="84" t="b">
        <v>1</v>
      </c>
      <c r="E2" s="61" t="b">
        <f>IF(E$7="","",E$7)</f>
        <v>1</v>
      </c>
    </row>
    <row r="3" spans="1:5">
      <c r="A3" s="47"/>
      <c r="B3" s="46" t="s">
        <v>1</v>
      </c>
      <c r="C3" s="84" t="b">
        <v>1</v>
      </c>
      <c r="D3" s="84" t="b">
        <v>1</v>
      </c>
      <c r="E3" s="61" t="b">
        <f>IF(E$7="","",E$7)</f>
        <v>1</v>
      </c>
    </row>
    <row r="4" spans="1:5">
      <c r="A4" s="47"/>
      <c r="B4" s="46" t="s">
        <v>2</v>
      </c>
      <c r="C4" s="84" t="b">
        <v>1</v>
      </c>
      <c r="D4" s="84" t="b">
        <v>1</v>
      </c>
      <c r="E4" s="61" t="b">
        <f>IF(E$7="","",E$7)</f>
        <v>1</v>
      </c>
    </row>
    <row r="5" spans="1:5">
      <c r="A5" s="47"/>
      <c r="B5" s="46" t="s">
        <v>3</v>
      </c>
      <c r="C5" s="84" t="b">
        <v>1</v>
      </c>
      <c r="D5" s="84" t="b">
        <v>1</v>
      </c>
      <c r="E5" s="61" t="b">
        <f>IF(E$7="","",E$7)</f>
        <v>1</v>
      </c>
    </row>
    <row r="6" spans="1:5">
      <c r="A6" s="47"/>
      <c r="B6" s="46" t="s">
        <v>4</v>
      </c>
      <c r="C6" s="84" t="b">
        <v>1</v>
      </c>
      <c r="D6" s="84" t="b">
        <v>1</v>
      </c>
      <c r="E6" s="61" t="b">
        <f>IF(E$7="","",E$7)</f>
        <v>1</v>
      </c>
    </row>
    <row r="7" spans="1:5">
      <c r="A7" s="47"/>
      <c r="B7" s="46" t="s">
        <v>172</v>
      </c>
      <c r="C7" s="45"/>
      <c r="D7" s="44"/>
      <c r="E7" s="84" t="b">
        <v>1</v>
      </c>
    </row>
    <row r="9" spans="1:5" ht="13">
      <c r="A9" s="49" t="s">
        <v>198</v>
      </c>
      <c r="B9" s="46" t="s">
        <v>32</v>
      </c>
      <c r="C9" s="84" t="b">
        <v>1</v>
      </c>
      <c r="D9" s="84"/>
      <c r="E9" s="61" t="b">
        <f>IF(E$7="","",E$7)</f>
        <v>1</v>
      </c>
    </row>
    <row r="10" spans="1:5">
      <c r="A10" s="47"/>
      <c r="B10" s="46" t="s">
        <v>1</v>
      </c>
      <c r="C10" s="84" t="b">
        <v>1</v>
      </c>
      <c r="D10" s="84"/>
      <c r="E10" s="61" t="b">
        <f>IF(E$7="","",E$7)</f>
        <v>1</v>
      </c>
    </row>
    <row r="11" spans="1:5">
      <c r="A11" s="47"/>
      <c r="B11" s="46" t="s">
        <v>2</v>
      </c>
      <c r="C11" s="84" t="b">
        <v>1</v>
      </c>
      <c r="D11" s="84"/>
      <c r="E11" s="61" t="b">
        <f>IF(E$7="","",E$7)</f>
        <v>1</v>
      </c>
    </row>
    <row r="12" spans="1:5">
      <c r="A12" s="47"/>
      <c r="B12" s="46" t="s">
        <v>3</v>
      </c>
      <c r="C12" s="84" t="b">
        <v>1</v>
      </c>
      <c r="D12" s="84"/>
      <c r="E12" s="61" t="b">
        <f>IF(E$7="","",E$7)</f>
        <v>1</v>
      </c>
    </row>
    <row r="13" spans="1:5">
      <c r="A13" s="47"/>
      <c r="B13" s="46" t="s">
        <v>4</v>
      </c>
      <c r="C13" s="84" t="b">
        <v>1</v>
      </c>
      <c r="D13" s="84"/>
      <c r="E13" s="61" t="b">
        <f>IF(E$7="","",E$7)</f>
        <v>1</v>
      </c>
    </row>
    <row r="14" spans="1:5">
      <c r="A14" s="47"/>
      <c r="B14" s="46" t="s">
        <v>172</v>
      </c>
      <c r="C14" s="45"/>
      <c r="D14" s="44"/>
      <c r="E14" s="84"/>
    </row>
    <row r="16" spans="1:5" ht="13">
      <c r="A16" s="49" t="s">
        <v>199</v>
      </c>
      <c r="B16" s="46" t="s">
        <v>32</v>
      </c>
      <c r="C16" s="84"/>
      <c r="D16" s="84"/>
      <c r="E16" s="61" t="b">
        <f>IF(E$7="","",E$7)</f>
        <v>1</v>
      </c>
    </row>
    <row r="17" spans="1:5">
      <c r="A17" s="47"/>
      <c r="B17" s="46" t="s">
        <v>1</v>
      </c>
      <c r="C17" s="84"/>
      <c r="D17" s="84"/>
      <c r="E17" s="61" t="b">
        <f>IF(E$7="","",E$7)</f>
        <v>1</v>
      </c>
    </row>
    <row r="18" spans="1:5">
      <c r="A18" s="47"/>
      <c r="B18" s="46" t="s">
        <v>2</v>
      </c>
      <c r="C18" s="84"/>
      <c r="D18" s="84"/>
      <c r="E18" s="61" t="b">
        <f>IF(E$7="","",E$7)</f>
        <v>1</v>
      </c>
    </row>
    <row r="19" spans="1:5">
      <c r="A19" s="47"/>
      <c r="B19" s="46" t="s">
        <v>3</v>
      </c>
      <c r="C19" s="84"/>
      <c r="D19" s="84"/>
      <c r="E19" s="61" t="b">
        <f>IF(E$7="","",E$7)</f>
        <v>1</v>
      </c>
    </row>
    <row r="20" spans="1:5">
      <c r="A20" s="47"/>
      <c r="B20" s="46" t="s">
        <v>4</v>
      </c>
      <c r="C20" s="84"/>
      <c r="D20" s="84"/>
      <c r="E20" s="61" t="b">
        <f>IF(E$7="","",E$7)</f>
        <v>1</v>
      </c>
    </row>
    <row r="21" spans="1:5">
      <c r="A21" s="47"/>
      <c r="B21" s="46" t="s">
        <v>172</v>
      </c>
      <c r="C21" s="45"/>
      <c r="D21" s="44"/>
      <c r="E21" s="84"/>
    </row>
  </sheetData>
  <sheetProtection algorithmName="SHA-512" hashValue="9wsRtmiVNJB0UeV33D4Iu3yiIwegEB7YesrZkCblhc6wUV+2PK18HRXoB0nl0+0IenWTDgkV+kV0Xi5B6erGpg==" saltValue="FiZTxqAqHli9KHTCkjPnDg==" spinCount="100000" sheet="1" scenarios="1" selectLockedCells="1"/>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249977111117893"/>
  </sheetPr>
  <dimension ref="A1:D3"/>
  <sheetViews>
    <sheetView zoomScale="220" zoomScaleNormal="220" workbookViewId="0">
      <selection activeCell="D2" sqref="D2"/>
    </sheetView>
  </sheetViews>
  <sheetFormatPr defaultColWidth="10.81640625" defaultRowHeight="12.5"/>
  <cols>
    <col min="1" max="1" width="15.6328125" customWidth="1"/>
    <col min="2" max="2" width="15.453125" customWidth="1"/>
    <col min="3" max="3" width="17.453125" customWidth="1"/>
    <col min="4" max="4" width="12.81640625" customWidth="1"/>
  </cols>
  <sheetData>
    <row r="1" spans="1:4" ht="13">
      <c r="A1" s="64" t="s">
        <v>164</v>
      </c>
      <c r="B1" s="51" t="s">
        <v>181</v>
      </c>
      <c r="C1" s="65" t="s">
        <v>182</v>
      </c>
      <c r="D1" s="65" t="s">
        <v>186</v>
      </c>
    </row>
    <row r="2" spans="1:4" ht="13">
      <c r="A2" s="65" t="s">
        <v>69</v>
      </c>
      <c r="B2" s="46" t="s">
        <v>67</v>
      </c>
      <c r="C2" s="46" t="s">
        <v>183</v>
      </c>
      <c r="D2" s="84"/>
    </row>
    <row r="3" spans="1:4" ht="13">
      <c r="A3" s="65" t="s">
        <v>185</v>
      </c>
      <c r="B3" s="46" t="s">
        <v>176</v>
      </c>
      <c r="C3" s="46" t="s">
        <v>184</v>
      </c>
      <c r="D3" s="84"/>
    </row>
  </sheetData>
  <sheetProtection algorithmName="SHA-512" hashValue="tS5A5il384gB8zsJjwidwZIpdVsJo/ah59cRAmnHpig36ZssdSIeiIXxiNqdW+7yhHG743nXUgYflxFLjdX6Kg==" saltValue="H9BMcvjdiLgSEjFGZvTrQw==" spinCount="100000" sheet="1" scenarios="1" select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249977111117893"/>
  </sheetPr>
  <dimension ref="A1:F39"/>
  <sheetViews>
    <sheetView topLeftCell="A13" zoomScale="115" workbookViewId="0">
      <selection activeCell="D28" sqref="D28"/>
    </sheetView>
  </sheetViews>
  <sheetFormatPr defaultColWidth="14.453125" defaultRowHeight="15.75" customHeight="1"/>
  <cols>
    <col min="1" max="1" width="56" style="52" customWidth="1"/>
    <col min="2" max="2" width="20" style="36" customWidth="1"/>
    <col min="3" max="3" width="20.453125" style="35" customWidth="1"/>
    <col min="4" max="4" width="20.08984375" style="35" customWidth="1"/>
    <col min="5" max="5" width="32.36328125" style="35" bestFit="1" customWidth="1"/>
    <col min="6" max="16384" width="14.453125" style="35"/>
  </cols>
  <sheetData>
    <row r="1" spans="1:5" ht="26">
      <c r="A1" s="54" t="s">
        <v>69</v>
      </c>
      <c r="B1" s="66" t="str">
        <f>"Baseline ("&amp;start_year&amp;") coverage"</f>
        <v>Baseline (2019) coverage</v>
      </c>
      <c r="C1" s="53" t="s">
        <v>200</v>
      </c>
      <c r="D1" s="53" t="s">
        <v>206</v>
      </c>
      <c r="E1" s="53" t="s">
        <v>205</v>
      </c>
    </row>
    <row r="2" spans="1:5" ht="15.75" customHeight="1">
      <c r="A2" s="52" t="s">
        <v>29</v>
      </c>
      <c r="B2" s="85">
        <v>0</v>
      </c>
      <c r="C2" s="85">
        <v>0.95</v>
      </c>
      <c r="D2" s="86">
        <f>8.613*1.1</f>
        <v>9.4742999999999995</v>
      </c>
      <c r="E2" s="86" t="s">
        <v>201</v>
      </c>
    </row>
    <row r="3" spans="1:5" ht="15.75" customHeight="1">
      <c r="A3" s="52" t="s">
        <v>86</v>
      </c>
      <c r="B3" s="85">
        <v>0.67</v>
      </c>
      <c r="C3" s="85">
        <v>0.95</v>
      </c>
      <c r="D3" s="86">
        <f>12.749*1.1</f>
        <v>14.023900000000001</v>
      </c>
      <c r="E3" s="86" t="s">
        <v>201</v>
      </c>
    </row>
    <row r="4" spans="1:5" ht="15.75" customHeight="1">
      <c r="A4" s="52" t="s">
        <v>61</v>
      </c>
      <c r="B4" s="85">
        <v>0</v>
      </c>
      <c r="C4" s="85">
        <v>0.95</v>
      </c>
      <c r="D4" s="86">
        <v>90</v>
      </c>
      <c r="E4" s="86" t="s">
        <v>201</v>
      </c>
    </row>
    <row r="5" spans="1:5" ht="15.75" customHeight="1">
      <c r="A5" s="52" t="s">
        <v>149</v>
      </c>
      <c r="B5" s="85">
        <v>0</v>
      </c>
      <c r="C5" s="85">
        <v>0.95</v>
      </c>
      <c r="D5" s="86">
        <v>999</v>
      </c>
      <c r="E5" s="86" t="s">
        <v>201</v>
      </c>
    </row>
    <row r="6" spans="1:5" ht="15.75" customHeight="1">
      <c r="A6" s="52" t="s">
        <v>197</v>
      </c>
      <c r="B6" s="85">
        <v>0.12</v>
      </c>
      <c r="C6" s="85">
        <v>0.95</v>
      </c>
      <c r="D6" s="86">
        <f>7.5*1.1</f>
        <v>8.25</v>
      </c>
      <c r="E6" s="86" t="s">
        <v>201</v>
      </c>
    </row>
    <row r="7" spans="1:5" ht="15.75" customHeight="1">
      <c r="A7" s="52" t="s">
        <v>63</v>
      </c>
      <c r="B7" s="85">
        <v>2E-3</v>
      </c>
      <c r="C7" s="85">
        <v>0.95</v>
      </c>
      <c r="D7" s="86">
        <v>7.0000000000000007E-2</v>
      </c>
      <c r="E7" s="86" t="s">
        <v>201</v>
      </c>
    </row>
    <row r="8" spans="1:5" ht="15.75" customHeight="1">
      <c r="A8" s="52" t="s">
        <v>64</v>
      </c>
      <c r="B8" s="85">
        <v>0.40300000000000002</v>
      </c>
      <c r="C8" s="85">
        <v>0.95</v>
      </c>
      <c r="D8" s="86">
        <v>7.0000000000000007E-2</v>
      </c>
      <c r="E8" s="86" t="s">
        <v>201</v>
      </c>
    </row>
    <row r="9" spans="1:5" ht="15.75" customHeight="1">
      <c r="A9" s="52" t="s">
        <v>62</v>
      </c>
      <c r="B9" s="85">
        <v>2.5000000000000001E-2</v>
      </c>
      <c r="C9" s="85">
        <v>0.95</v>
      </c>
      <c r="D9" s="86">
        <v>7.0000000000000007E-2</v>
      </c>
      <c r="E9" s="86" t="s">
        <v>201</v>
      </c>
    </row>
    <row r="10" spans="1:5" ht="15.75" customHeight="1">
      <c r="A10" s="63" t="s">
        <v>188</v>
      </c>
      <c r="B10" s="85">
        <v>0</v>
      </c>
      <c r="C10" s="85">
        <v>0.95</v>
      </c>
      <c r="D10" s="86">
        <f>(0.08*26)*1.1</f>
        <v>2.2880000000000003</v>
      </c>
      <c r="E10" s="86" t="s">
        <v>201</v>
      </c>
    </row>
    <row r="11" spans="1:5" ht="15.75" customHeight="1">
      <c r="A11" s="63" t="s">
        <v>207</v>
      </c>
      <c r="B11" s="85">
        <v>0</v>
      </c>
      <c r="C11" s="85">
        <v>0.95</v>
      </c>
      <c r="D11" s="86">
        <f>(0.08*26)*1.1</f>
        <v>2.2880000000000003</v>
      </c>
      <c r="E11" s="86" t="s">
        <v>201</v>
      </c>
    </row>
    <row r="12" spans="1:5" ht="15.75" customHeight="1">
      <c r="A12" s="63" t="s">
        <v>189</v>
      </c>
      <c r="B12" s="85">
        <v>0</v>
      </c>
      <c r="C12" s="85">
        <v>0.95</v>
      </c>
      <c r="D12" s="86">
        <f>(0.08*26)*1.3</f>
        <v>2.7040000000000002</v>
      </c>
      <c r="E12" s="86" t="s">
        <v>201</v>
      </c>
    </row>
    <row r="13" spans="1:5" ht="15.75" customHeight="1">
      <c r="A13" s="63" t="s">
        <v>190</v>
      </c>
      <c r="B13" s="85">
        <v>0</v>
      </c>
      <c r="C13" s="85">
        <v>0.95</v>
      </c>
      <c r="D13" s="86">
        <f>(0.08*26)*1.1</f>
        <v>2.2880000000000003</v>
      </c>
      <c r="E13" s="86" t="s">
        <v>201</v>
      </c>
    </row>
    <row r="14" spans="1:5" ht="15.75" customHeight="1">
      <c r="A14" s="11" t="s">
        <v>187</v>
      </c>
      <c r="B14" s="85">
        <v>0</v>
      </c>
      <c r="C14" s="85">
        <v>0.95</v>
      </c>
      <c r="D14" s="86">
        <v>5.35</v>
      </c>
      <c r="E14" s="86" t="s">
        <v>201</v>
      </c>
    </row>
    <row r="15" spans="1:5" ht="15.75" customHeight="1">
      <c r="A15" s="11" t="s">
        <v>208</v>
      </c>
      <c r="B15" s="85">
        <v>0.64100000000000001</v>
      </c>
      <c r="C15" s="85">
        <v>0.95</v>
      </c>
      <c r="D15" s="86">
        <f>(0.41*6)*1.1</f>
        <v>2.706</v>
      </c>
      <c r="E15" s="86" t="s">
        <v>201</v>
      </c>
    </row>
    <row r="16" spans="1:5" ht="15.75" customHeight="1">
      <c r="A16" s="52" t="s">
        <v>57</v>
      </c>
      <c r="B16" s="85">
        <v>0.63600000000000001</v>
      </c>
      <c r="C16" s="85">
        <v>0.95</v>
      </c>
      <c r="D16" s="86">
        <f>(0.27*3)*1.1</f>
        <v>0.89100000000000013</v>
      </c>
      <c r="E16" s="86" t="s">
        <v>201</v>
      </c>
    </row>
    <row r="17" spans="1:5" ht="15.75" customHeight="1">
      <c r="A17" s="52" t="s">
        <v>47</v>
      </c>
      <c r="B17" s="85">
        <v>0</v>
      </c>
      <c r="C17" s="85">
        <v>0.95</v>
      </c>
      <c r="D17" s="86">
        <v>99</v>
      </c>
      <c r="E17" s="86" t="s">
        <v>201</v>
      </c>
    </row>
    <row r="18" spans="1:5" ht="16" customHeight="1">
      <c r="A18" s="52" t="s">
        <v>173</v>
      </c>
      <c r="B18" s="85">
        <v>0</v>
      </c>
      <c r="C18" s="85">
        <v>0.95</v>
      </c>
      <c r="D18" s="86">
        <v>5</v>
      </c>
      <c r="E18" s="86" t="s">
        <v>201</v>
      </c>
    </row>
    <row r="19" spans="1:5" ht="15.75" customHeight="1">
      <c r="A19" s="52" t="s">
        <v>198</v>
      </c>
      <c r="B19" s="85">
        <v>0</v>
      </c>
      <c r="C19" s="85">
        <v>0.95</v>
      </c>
      <c r="D19" s="86">
        <v>1.26</v>
      </c>
      <c r="E19" s="86" t="s">
        <v>201</v>
      </c>
    </row>
    <row r="20" spans="1:5" ht="15.75" customHeight="1">
      <c r="A20" s="52" t="s">
        <v>199</v>
      </c>
      <c r="B20" s="85">
        <v>0</v>
      </c>
      <c r="C20" s="85">
        <v>0.95</v>
      </c>
      <c r="D20" s="86">
        <v>99</v>
      </c>
      <c r="E20" s="86" t="s">
        <v>201</v>
      </c>
    </row>
    <row r="21" spans="1:5" ht="15.75" customHeight="1">
      <c r="A21" s="52" t="s">
        <v>195</v>
      </c>
      <c r="B21" s="85">
        <v>0</v>
      </c>
      <c r="C21" s="85">
        <v>0.95</v>
      </c>
      <c r="D21" s="86">
        <f>1.23*1.1</f>
        <v>1.353</v>
      </c>
      <c r="E21" s="86" t="s">
        <v>201</v>
      </c>
    </row>
    <row r="22" spans="1:5" ht="15.75" customHeight="1">
      <c r="A22" s="52" t="s">
        <v>136</v>
      </c>
      <c r="B22" s="85">
        <v>0</v>
      </c>
      <c r="C22" s="85">
        <v>0.95</v>
      </c>
      <c r="D22" s="86">
        <v>44.58</v>
      </c>
      <c r="E22" s="86" t="s">
        <v>201</v>
      </c>
    </row>
    <row r="23" spans="1:5" ht="15.75" customHeight="1">
      <c r="A23" s="52" t="s">
        <v>34</v>
      </c>
      <c r="B23" s="85">
        <v>0.60199999999999998</v>
      </c>
      <c r="C23" s="85">
        <v>0.95</v>
      </c>
      <c r="D23" s="86">
        <f>(2.45+0.5)*1.1</f>
        <v>3.2450000000000006</v>
      </c>
      <c r="E23" s="86" t="s">
        <v>201</v>
      </c>
    </row>
    <row r="24" spans="1:5" ht="15.75" customHeight="1">
      <c r="A24" s="52" t="s">
        <v>88</v>
      </c>
      <c r="B24" s="85">
        <v>0.45</v>
      </c>
      <c r="C24" s="85">
        <v>0.95</v>
      </c>
      <c r="D24" s="86">
        <f>85.27*1.1</f>
        <v>93.796999999999997</v>
      </c>
      <c r="E24" s="86" t="s">
        <v>201</v>
      </c>
    </row>
    <row r="25" spans="1:5" ht="15.75" customHeight="1">
      <c r="A25" s="52" t="s">
        <v>87</v>
      </c>
      <c r="B25" s="85">
        <v>0.45</v>
      </c>
      <c r="C25" s="85">
        <v>0.95</v>
      </c>
      <c r="D25" s="86">
        <f>85.27*1.1</f>
        <v>93.796999999999997</v>
      </c>
      <c r="E25" s="86" t="s">
        <v>201</v>
      </c>
    </row>
    <row r="26" spans="1:5" ht="15.75" customHeight="1">
      <c r="A26" s="52" t="s">
        <v>137</v>
      </c>
      <c r="B26" s="85">
        <v>0</v>
      </c>
      <c r="C26" s="85">
        <v>0.95</v>
      </c>
      <c r="D26" s="86">
        <v>6.4</v>
      </c>
      <c r="E26" s="86" t="s">
        <v>201</v>
      </c>
    </row>
    <row r="27" spans="1:5" ht="15.75" customHeight="1">
      <c r="A27" s="52" t="s">
        <v>59</v>
      </c>
      <c r="B27" s="85">
        <v>0</v>
      </c>
      <c r="C27" s="85">
        <v>0.95</v>
      </c>
      <c r="D27" s="86">
        <v>3.99</v>
      </c>
      <c r="E27" s="86" t="s">
        <v>201</v>
      </c>
    </row>
    <row r="28" spans="1:5" ht="15.75" customHeight="1">
      <c r="A28" s="52" t="s">
        <v>84</v>
      </c>
      <c r="B28" s="85">
        <v>0.4</v>
      </c>
      <c r="C28" s="85">
        <v>0.95</v>
      </c>
      <c r="D28" s="86">
        <f>0.25*3.3</f>
        <v>0.82499999999999996</v>
      </c>
      <c r="E28" s="86" t="s">
        <v>201</v>
      </c>
    </row>
    <row r="29" spans="1:5" ht="15.75" customHeight="1">
      <c r="A29" s="52" t="s">
        <v>58</v>
      </c>
      <c r="B29" s="85">
        <v>0</v>
      </c>
      <c r="C29" s="85">
        <v>0.95</v>
      </c>
      <c r="D29" s="86">
        <v>99</v>
      </c>
      <c r="E29" s="86" t="s">
        <v>201</v>
      </c>
    </row>
    <row r="30" spans="1:5" ht="15.75" customHeight="1">
      <c r="A30" s="52" t="s">
        <v>67</v>
      </c>
      <c r="B30" s="85">
        <v>0.36199999999999999</v>
      </c>
      <c r="C30" s="85">
        <v>0.95</v>
      </c>
      <c r="D30" s="86">
        <f>105*0.015*2.6</f>
        <v>4.0949999999999998</v>
      </c>
      <c r="E30" s="86" t="s">
        <v>201</v>
      </c>
    </row>
    <row r="31" spans="1:5" ht="15.75" customHeight="1">
      <c r="A31" s="52" t="s">
        <v>28</v>
      </c>
      <c r="B31" s="85">
        <v>0.40799999999999997</v>
      </c>
      <c r="C31" s="85">
        <v>0.95</v>
      </c>
      <c r="D31" s="86">
        <v>0.38</v>
      </c>
      <c r="E31" s="86" t="s">
        <v>201</v>
      </c>
    </row>
    <row r="32" spans="1:5" ht="15.75" customHeight="1">
      <c r="A32" s="52" t="s">
        <v>83</v>
      </c>
      <c r="B32" s="85">
        <v>0.22500000000000001</v>
      </c>
      <c r="C32" s="85">
        <v>0.95</v>
      </c>
      <c r="D32" s="86">
        <v>1.04</v>
      </c>
      <c r="E32" s="86" t="s">
        <v>201</v>
      </c>
    </row>
    <row r="33" spans="1:6" ht="15.75" customHeight="1">
      <c r="A33" s="52" t="s">
        <v>82</v>
      </c>
      <c r="B33" s="85">
        <v>0.58099999999999996</v>
      </c>
      <c r="C33" s="85">
        <v>0.95</v>
      </c>
      <c r="D33" s="86">
        <v>99</v>
      </c>
      <c r="E33" s="86" t="s">
        <v>201</v>
      </c>
    </row>
    <row r="34" spans="1:6" ht="15.75" customHeight="1">
      <c r="A34" s="52" t="s">
        <v>81</v>
      </c>
      <c r="B34" s="85">
        <v>0.35899999999999999</v>
      </c>
      <c r="C34" s="85">
        <v>0.95</v>
      </c>
      <c r="D34" s="86">
        <v>19</v>
      </c>
      <c r="E34" s="86" t="s">
        <v>201</v>
      </c>
    </row>
    <row r="35" spans="1:6" ht="15.75" customHeight="1">
      <c r="A35" s="52" t="s">
        <v>79</v>
      </c>
      <c r="B35" s="85">
        <v>0.64200000000000002</v>
      </c>
      <c r="C35" s="85">
        <v>0.95</v>
      </c>
      <c r="D35" s="86">
        <v>19.78</v>
      </c>
      <c r="E35" s="86" t="s">
        <v>201</v>
      </c>
    </row>
    <row r="36" spans="1:6" s="36" customFormat="1" ht="15.75" customHeight="1">
      <c r="A36" s="52" t="s">
        <v>80</v>
      </c>
      <c r="B36" s="85">
        <v>0.109</v>
      </c>
      <c r="C36" s="85">
        <v>0.95</v>
      </c>
      <c r="D36" s="86">
        <v>31</v>
      </c>
      <c r="E36" s="86" t="s">
        <v>201</v>
      </c>
      <c r="F36" s="35"/>
    </row>
    <row r="37" spans="1:6" ht="15.75" customHeight="1">
      <c r="A37" s="52" t="s">
        <v>85</v>
      </c>
      <c r="B37" s="85">
        <v>0.22800000000000001</v>
      </c>
      <c r="C37" s="85">
        <v>0.95</v>
      </c>
      <c r="D37" s="86">
        <f>1.3*3.3</f>
        <v>4.29</v>
      </c>
      <c r="E37" s="86" t="s">
        <v>201</v>
      </c>
    </row>
    <row r="38" spans="1:6" ht="15.75" customHeight="1">
      <c r="A38" s="52" t="s">
        <v>60</v>
      </c>
      <c r="B38" s="85">
        <v>0.31</v>
      </c>
      <c r="C38" s="85">
        <v>0.95</v>
      </c>
      <c r="D38" s="86">
        <f>0.55*3.3</f>
        <v>1.8149999999999999</v>
      </c>
      <c r="E38" s="86" t="s">
        <v>201</v>
      </c>
    </row>
    <row r="39" spans="1:6" ht="15.75" customHeight="1">
      <c r="F39" s="36"/>
    </row>
  </sheetData>
  <sheetProtection algorithmName="SHA-512" hashValue="zGqGWUHks9r73YYvhtsA/6n2sxkq6NyOLMnszdwkuYHRGc3RAKyH9yLxkOwoypM6IGMaCGHxxq0vP7rXnZY93w==" saltValue="sA5n05NYbI4nfIN6wumz0A==" spinCount="100000" sheet="1" scenarios="1" selectLockedCells="1"/>
  <sortState xmlns:xlrd2="http://schemas.microsoft.com/office/spreadsheetml/2017/richdata2" ref="A2:D38">
    <sortCondition ref="A2:A38"/>
  </sortState>
  <pageMargins left="0.75" right="0.75" top="1" bottom="1" header="0.5" footer="0.5"/>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'Cost curve options'!$A$1:$A$4</xm:f>
          </x14:formula1>
          <xm:sqref>E2:E38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44</vt:i4>
      </vt:variant>
    </vt:vector>
  </HeadingPairs>
  <TitlesOfParts>
    <vt:vector size="60" baseType="lpstr">
      <vt:lpstr>Baseline year population inputs</vt:lpstr>
      <vt:lpstr>Demographic projections</vt:lpstr>
      <vt:lpstr>Causes of death</vt:lpstr>
      <vt:lpstr>Nutritional status distribution</vt:lpstr>
      <vt:lpstr>Breastfeeding distribution</vt:lpstr>
      <vt:lpstr>Time trends</vt:lpstr>
      <vt:lpstr>IYCF packages</vt:lpstr>
      <vt:lpstr>Treatment of SAM</vt:lpstr>
      <vt:lpstr>Programs cost and coverage</vt:lpstr>
      <vt:lpstr>IYCF cost</vt:lpstr>
      <vt:lpstr>Program dependencies</vt:lpstr>
      <vt:lpstr>Reference programs</vt:lpstr>
      <vt:lpstr>Incidence of conditions</vt:lpstr>
      <vt:lpstr>Programs target population</vt:lpstr>
      <vt:lpstr>Cost curve options</vt:lpstr>
      <vt:lpstr>Programs family planning</vt:lpstr>
      <vt:lpstr>'IYCF packages'!abortion</vt:lpstr>
      <vt:lpstr>abortion</vt:lpstr>
      <vt:lpstr>comm_deliv</vt:lpstr>
      <vt:lpstr>diarrhoea_12_23mo</vt:lpstr>
      <vt:lpstr>diarrhoea_1mo</vt:lpstr>
      <vt:lpstr>diarrhoea_24_59mo</vt:lpstr>
      <vt:lpstr>diarrhoea_6_11mo</vt:lpstr>
      <vt:lpstr>end_year</vt:lpstr>
      <vt:lpstr>famplan_unmet_need</vt:lpstr>
      <vt:lpstr>food_insecure</vt:lpstr>
      <vt:lpstr>frac_children_health_facility</vt:lpstr>
      <vt:lpstr>frac_diarrhea_severe</vt:lpstr>
      <vt:lpstr>frac_maize</vt:lpstr>
      <vt:lpstr>frac_malaria_risk</vt:lpstr>
      <vt:lpstr>frac_mam_1_5months</vt:lpstr>
      <vt:lpstr>frac_mam_12_23months</vt:lpstr>
      <vt:lpstr>frac_mam_1month</vt:lpstr>
      <vt:lpstr>frac_mam_24_59months</vt:lpstr>
      <vt:lpstr>frac_mam_6_11months</vt:lpstr>
      <vt:lpstr>frac_other_staples</vt:lpstr>
      <vt:lpstr>frac_PW_health_facility</vt:lpstr>
      <vt:lpstr>frac_rice</vt:lpstr>
      <vt:lpstr>frac_sam_1_5months</vt:lpstr>
      <vt:lpstr>frac_sam_12_23months</vt:lpstr>
      <vt:lpstr>frac_sam_1month</vt:lpstr>
      <vt:lpstr>frac_sam_24_59months</vt:lpstr>
      <vt:lpstr>frac_sam_6_11months</vt:lpstr>
      <vt:lpstr>frac_subsistence_farming</vt:lpstr>
      <vt:lpstr>frac_wheat</vt:lpstr>
      <vt:lpstr>infant_mortality</vt:lpstr>
      <vt:lpstr>iron_deficiency_anaemia</vt:lpstr>
      <vt:lpstr>manage_mam</vt:lpstr>
      <vt:lpstr>maternal_mortality</vt:lpstr>
      <vt:lpstr>neonatal_mortality</vt:lpstr>
      <vt:lpstr>Percentage_of_pregnant_women_attending_health_facility</vt:lpstr>
      <vt:lpstr>preterm_AGA</vt:lpstr>
      <vt:lpstr>preterm_SGA</vt:lpstr>
      <vt:lpstr>school_attendance</vt:lpstr>
      <vt:lpstr>start_year</vt:lpstr>
      <vt:lpstr>'IYCF packages'!stillbirth</vt:lpstr>
      <vt:lpstr>stillbirth</vt:lpstr>
      <vt:lpstr>term_AGA</vt:lpstr>
      <vt:lpstr>term_SGA</vt:lpstr>
      <vt:lpstr>U5_mortality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Dominic Delport</cp:lastModifiedBy>
  <dcterms:created xsi:type="dcterms:W3CDTF">2017-08-01T10:42:13Z</dcterms:created>
  <dcterms:modified xsi:type="dcterms:W3CDTF">2019-06-25T05:19:23Z</dcterms:modified>
</cp:coreProperties>
</file>