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639290EB-14C0-4A9D-8FCC-B8B2D5F5D62C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I35" i="2" s="1"/>
  <c r="G35" i="2"/>
  <c r="A35" i="2"/>
  <c r="H34" i="2"/>
  <c r="I34" i="2" s="1"/>
  <c r="G34" i="2"/>
  <c r="H33" i="2"/>
  <c r="I33" i="2" s="1"/>
  <c r="G33" i="2"/>
  <c r="A33" i="2"/>
  <c r="H32" i="2"/>
  <c r="I32" i="2" s="1"/>
  <c r="G32" i="2"/>
  <c r="H31" i="2"/>
  <c r="I31" i="2" s="1"/>
  <c r="G31" i="2"/>
  <c r="A31" i="2"/>
  <c r="H30" i="2"/>
  <c r="I30" i="2" s="1"/>
  <c r="G30" i="2"/>
  <c r="H29" i="2"/>
  <c r="I29" i="2" s="1"/>
  <c r="G29" i="2"/>
  <c r="A29" i="2"/>
  <c r="H28" i="2"/>
  <c r="I28" i="2" s="1"/>
  <c r="G28" i="2"/>
  <c r="H27" i="2"/>
  <c r="I27" i="2" s="1"/>
  <c r="G27" i="2"/>
  <c r="A27" i="2"/>
  <c r="H26" i="2"/>
  <c r="I26" i="2" s="1"/>
  <c r="G26" i="2"/>
  <c r="H25" i="2"/>
  <c r="I25" i="2" s="1"/>
  <c r="G25" i="2"/>
  <c r="A25" i="2"/>
  <c r="H24" i="2"/>
  <c r="I24" i="2" s="1"/>
  <c r="G24" i="2"/>
  <c r="H23" i="2"/>
  <c r="I23" i="2" s="1"/>
  <c r="G23" i="2"/>
  <c r="A23" i="2"/>
  <c r="H22" i="2"/>
  <c r="I22" i="2" s="1"/>
  <c r="G22" i="2"/>
  <c r="H21" i="2"/>
  <c r="I21" i="2" s="1"/>
  <c r="G21" i="2"/>
  <c r="A21" i="2"/>
  <c r="H20" i="2"/>
  <c r="I20" i="2" s="1"/>
  <c r="G20" i="2"/>
  <c r="H19" i="2"/>
  <c r="I19" i="2" s="1"/>
  <c r="G19" i="2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/>
  <c r="A7" i="2" s="1"/>
  <c r="A8" i="2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<sst xmlns="http://schemas.openxmlformats.org/spreadsheetml/2006/main" count="2089" uniqueCount="342">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</sst>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784282.875</v>
      </c>
    </row>
    <row r="8" spans="1:3" ht="15" customHeight="1" x14ac:dyDescent="0.25">
      <c r="B8" s="5" t="s">
        <v>8</v>
      </c>
      <c r="C8" s="44">
        <v>9.0000000000000011E-3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0.59812629699706998</v>
      </c>
    </row>
    <row r="11" spans="1:3" ht="15" customHeight="1" x14ac:dyDescent="0.25">
      <c r="B11" s="5" t="s">
        <v>11</v>
      </c>
      <c r="C11" s="44">
        <v>0.36899999999999999</v>
      </c>
    </row>
    <row r="12" spans="1:3" ht="15" customHeight="1" x14ac:dyDescent="0.25">
      <c r="B12" s="5" t="s">
        <v>12</v>
      </c>
      <c r="C12" s="44">
        <v>0.54400000000000004</v>
      </c>
    </row>
    <row r="13" spans="1:3" ht="15" customHeight="1" x14ac:dyDescent="0.25">
      <c r="B13" s="5" t="s">
        <v>13</v>
      </c>
      <c r="C13" s="44">
        <v>0.38700000000000001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0.12590000000000001</v>
      </c>
    </row>
    <row r="24" spans="1:3" ht="15" customHeight="1" x14ac:dyDescent="0.25">
      <c r="B24" s="15" t="s">
        <v>22</v>
      </c>
      <c r="C24" s="45">
        <v>0.54390000000000005</v>
      </c>
    </row>
    <row r="25" spans="1:3" ht="15" customHeight="1" x14ac:dyDescent="0.25">
      <c r="B25" s="15" t="s">
        <v>23</v>
      </c>
      <c r="C25" s="45">
        <v>0.28079999999999999</v>
      </c>
    </row>
    <row r="26" spans="1:3" ht="15" customHeight="1" x14ac:dyDescent="0.25">
      <c r="B26" s="15" t="s">
        <v>24</v>
      </c>
      <c r="C26" s="45">
        <v>4.9400000000000013E-2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0.33982819689320298</v>
      </c>
    </row>
    <row r="30" spans="1:3" ht="14.25" customHeight="1" x14ac:dyDescent="0.25">
      <c r="B30" s="25" t="s">
        <v>27</v>
      </c>
      <c r="C30" s="100">
        <v>6.2561187718748801E-2</v>
      </c>
    </row>
    <row r="31" spans="1:3" ht="14.25" customHeight="1" x14ac:dyDescent="0.25">
      <c r="B31" s="25" t="s">
        <v>28</v>
      </c>
      <c r="C31" s="100">
        <v>0.10830365549783399</v>
      </c>
    </row>
    <row r="32" spans="1:3" ht="14.25" customHeight="1" x14ac:dyDescent="0.25">
      <c r="B32" s="25" t="s">
        <v>29</v>
      </c>
      <c r="C32" s="100">
        <v>0.489306959890214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12.301032837272601</v>
      </c>
    </row>
    <row r="38" spans="1:5" ht="15" customHeight="1" x14ac:dyDescent="0.25">
      <c r="B38" s="11" t="s">
        <v>34</v>
      </c>
      <c r="C38" s="43">
        <v>16.361929983581401</v>
      </c>
      <c r="D38" s="12"/>
      <c r="E38" s="13"/>
    </row>
    <row r="39" spans="1:5" ht="15" customHeight="1" x14ac:dyDescent="0.25">
      <c r="B39" s="11" t="s">
        <v>35</v>
      </c>
      <c r="C39" s="43">
        <v>18.311708848745699</v>
      </c>
      <c r="D39" s="12"/>
      <c r="E39" s="12"/>
    </row>
    <row r="40" spans="1:5" ht="15" customHeight="1" x14ac:dyDescent="0.25">
      <c r="B40" s="11" t="s">
        <v>36</v>
      </c>
      <c r="C40" s="99">
        <v>0.6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6.8350214669999998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2.3189399999999999E-2</v>
      </c>
      <c r="D45" s="12"/>
    </row>
    <row r="46" spans="1:5" ht="15.75" customHeight="1" x14ac:dyDescent="0.25">
      <c r="B46" s="11" t="s">
        <v>41</v>
      </c>
      <c r="C46" s="45">
        <v>8.1205899999999998E-2</v>
      </c>
      <c r="D46" s="12"/>
    </row>
    <row r="47" spans="1:5" ht="15.75" customHeight="1" x14ac:dyDescent="0.25">
      <c r="B47" s="11" t="s">
        <v>42</v>
      </c>
      <c r="C47" s="45">
        <v>0.12579499999999999</v>
      </c>
      <c r="D47" s="12"/>
      <c r="E47" s="13"/>
    </row>
    <row r="48" spans="1:5" ht="15" customHeight="1" x14ac:dyDescent="0.25">
      <c r="B48" s="11" t="s">
        <v>43</v>
      </c>
      <c r="C48" s="46">
        <v>0.76980970000000004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2.8</v>
      </c>
      <c r="D51" s="12"/>
    </row>
    <row r="52" spans="1:4" ht="15" customHeight="1" x14ac:dyDescent="0.25">
      <c r="B52" s="11" t="s">
        <v>46</v>
      </c>
      <c r="C52" s="48">
        <v>2.8</v>
      </c>
    </row>
    <row r="53" spans="1:4" ht="15.75" customHeight="1" x14ac:dyDescent="0.25">
      <c r="B53" s="11" t="s">
        <v>47</v>
      </c>
      <c r="C53" s="48">
        <v>2.8</v>
      </c>
    </row>
    <row r="54" spans="1:4" ht="15.75" customHeight="1" x14ac:dyDescent="0.25">
      <c r="B54" s="11" t="s">
        <v>48</v>
      </c>
      <c r="C54" s="48">
        <v>2.8</v>
      </c>
    </row>
    <row r="55" spans="1:4" ht="15.75" customHeight="1" x14ac:dyDescent="0.25">
      <c r="B55" s="11" t="s">
        <v>49</v>
      </c>
      <c r="C55" s="48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1.6428571428571431E-2</v>
      </c>
    </row>
    <row r="59" spans="1:4" ht="15.75" customHeight="1" x14ac:dyDescent="0.25">
      <c r="B59" s="11" t="s">
        <v>52</v>
      </c>
      <c r="C59" s="44">
        <v>0.58899100000000004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0.17313998999999899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0.73060926398862802</v>
      </c>
      <c r="C2" s="57">
        <v>0.95</v>
      </c>
      <c r="D2" s="58">
        <v>46.514149795651832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42.714114955724838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233.86921568365631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0.6968996460704564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0.22639899577035499</v>
      </c>
      <c r="C10" s="57">
        <v>0.95</v>
      </c>
      <c r="D10" s="58">
        <v>13.73182685574543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0.22639899577035499</v>
      </c>
      <c r="C11" s="57">
        <v>0.95</v>
      </c>
      <c r="D11" s="58">
        <v>13.73182685574543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0.22639899577035499</v>
      </c>
      <c r="C12" s="57">
        <v>0.95</v>
      </c>
      <c r="D12" s="58">
        <v>13.73182685574543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0.22639899577035499</v>
      </c>
      <c r="C13" s="57">
        <v>0.95</v>
      </c>
      <c r="D13" s="58">
        <v>13.73182685574543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0.22639899577035499</v>
      </c>
      <c r="C14" s="57">
        <v>0.95</v>
      </c>
      <c r="D14" s="58">
        <v>13.73182685574543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0.22639899577035499</v>
      </c>
      <c r="C15" s="57">
        <v>0.95</v>
      </c>
      <c r="D15" s="58">
        <v>13.73182685574543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0.47098850075500898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0.97</v>
      </c>
      <c r="C18" s="57">
        <v>0.95</v>
      </c>
      <c r="D18" s="58">
        <v>5.4458602900381443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5.4458602900381443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0.99578329999999993</v>
      </c>
      <c r="C21" s="57">
        <v>0.95</v>
      </c>
      <c r="D21" s="58">
        <v>7.0380951679412087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23.53711431198905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4.58111376863544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0.25171310679070003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0.176577075175606</v>
      </c>
      <c r="C27" s="57">
        <v>0.95</v>
      </c>
      <c r="D27" s="58">
        <v>19.73010065732856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0.96507066955391396</v>
      </c>
      <c r="C29" s="57">
        <v>0.95</v>
      </c>
      <c r="D29" s="58">
        <v>87.366174813676366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2.4513909123146012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7.1143999100000008E-2</v>
      </c>
      <c r="C32" s="57">
        <v>0.95</v>
      </c>
      <c r="D32" s="58">
        <v>0.98014443964829323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0.61718570709999998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3.4726556862575531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0.892642700872609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5">
      <c r="A3" s="3" t="s">
        <v>204</v>
      </c>
      <c r="B3" s="21">
        <f>frac_mam_1month * 2.6</f>
        <v>8.8649191799999999E-2</v>
      </c>
      <c r="C3" s="21">
        <f>frac_mam_1_5months * 2.6</f>
        <v>8.8649191799999999E-2</v>
      </c>
      <c r="D3" s="21">
        <f>frac_mam_6_11months * 2.6</f>
        <v>5.4077023000000009E-2</v>
      </c>
      <c r="E3" s="21">
        <f>frac_mam_12_23months * 2.6</f>
        <v>2.7900259400000002E-2</v>
      </c>
      <c r="F3" s="21">
        <f>frac_mam_24_59months * 2.6</f>
        <v>2.4484555940000003E-2</v>
      </c>
    </row>
    <row r="4" spans="1:6" ht="15.75" customHeight="1" x14ac:dyDescent="0.25">
      <c r="A4" s="3" t="s">
        <v>205</v>
      </c>
      <c r="B4" s="21">
        <f>frac_sam_1month * 2.6</f>
        <v>4.2762699199999997E-2</v>
      </c>
      <c r="C4" s="21">
        <f>frac_sam_1_5months * 2.6</f>
        <v>4.2762699199999997E-2</v>
      </c>
      <c r="D4" s="21">
        <f>frac_sam_6_11months * 2.6</f>
        <v>2.3834063760000003E-2</v>
      </c>
      <c r="E4" s="21">
        <f>frac_sam_12_23months * 2.6</f>
        <v>2.4217430640000003E-2</v>
      </c>
      <c r="F4" s="21">
        <f>frac_sam_24_59months * 2.6</f>
        <v>1.0756682300000002E-2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9.0000000000000011E-3</v>
      </c>
      <c r="E2" s="62">
        <f>food_insecure</f>
        <v>9.0000000000000011E-3</v>
      </c>
      <c r="F2" s="62">
        <f>food_insecure</f>
        <v>9.0000000000000011E-3</v>
      </c>
      <c r="G2" s="62">
        <f>food_insecure</f>
        <v>9.0000000000000011E-3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9.0000000000000011E-3</v>
      </c>
      <c r="F5" s="62">
        <f>food_insecure</f>
        <v>9.0000000000000011E-3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4.6000000000000006E-2</v>
      </c>
      <c r="D7" s="62">
        <f>diarrhoea_1_5mo*frac_diarrhea_severe</f>
        <v>4.6000000000000006E-2</v>
      </c>
      <c r="E7" s="62">
        <f>diarrhoea_6_11mo*frac_diarrhea_severe</f>
        <v>4.6000000000000006E-2</v>
      </c>
      <c r="F7" s="62">
        <f>diarrhoea_12_23mo*frac_diarrhea_severe</f>
        <v>4.6000000000000006E-2</v>
      </c>
      <c r="G7" s="62">
        <f>diarrhoea_24_59mo*frac_diarrhea_severe</f>
        <v>4.6000000000000006E-2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9.0000000000000011E-3</v>
      </c>
      <c r="F8" s="62">
        <f>food_insecure</f>
        <v>9.0000000000000011E-3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9.0000000000000011E-3</v>
      </c>
      <c r="F9" s="62">
        <f>food_insecure</f>
        <v>9.0000000000000011E-3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0.54400000000000004</v>
      </c>
      <c r="E10" s="62">
        <f>IF(ISBLANK(comm_deliv), frac_children_health_facility,1)</f>
        <v>0.54400000000000004</v>
      </c>
      <c r="F10" s="62">
        <f>IF(ISBLANK(comm_deliv), frac_children_health_facility,1)</f>
        <v>0.54400000000000004</v>
      </c>
      <c r="G10" s="62">
        <f>IF(ISBLANK(comm_deliv), frac_children_health_facility,1)</f>
        <v>0.54400000000000004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4.6000000000000006E-2</v>
      </c>
      <c r="D12" s="62">
        <f>diarrhoea_1_5mo*frac_diarrhea_severe</f>
        <v>4.6000000000000006E-2</v>
      </c>
      <c r="E12" s="62">
        <f>diarrhoea_6_11mo*frac_diarrhea_severe</f>
        <v>4.6000000000000006E-2</v>
      </c>
      <c r="F12" s="62">
        <f>diarrhoea_12_23mo*frac_diarrhea_severe</f>
        <v>4.6000000000000006E-2</v>
      </c>
      <c r="G12" s="62">
        <f>diarrhoea_24_59mo*frac_diarrhea_severe</f>
        <v>4.6000000000000006E-2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9.0000000000000011E-3</v>
      </c>
      <c r="I15" s="62">
        <f>food_insecure</f>
        <v>9.0000000000000011E-3</v>
      </c>
      <c r="J15" s="62">
        <f>food_insecure</f>
        <v>9.0000000000000011E-3</v>
      </c>
      <c r="K15" s="62">
        <f>food_insecure</f>
        <v>9.0000000000000011E-3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0.36899999999999999</v>
      </c>
      <c r="I18" s="62">
        <f>frac_PW_health_facility</f>
        <v>0.36899999999999999</v>
      </c>
      <c r="J18" s="62">
        <f>frac_PW_health_facility</f>
        <v>0.36899999999999999</v>
      </c>
      <c r="K18" s="62">
        <f>frac_PW_health_facility</f>
        <v>0.36899999999999999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0.38700000000000001</v>
      </c>
      <c r="M24" s="62">
        <f>famplan_unmet_need</f>
        <v>0.38700000000000001</v>
      </c>
      <c r="N24" s="62">
        <f>famplan_unmet_need</f>
        <v>0.38700000000000001</v>
      </c>
      <c r="O24" s="62">
        <f>famplan_unmet_need</f>
        <v>0.38700000000000001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0.19767765577011123</v>
      </c>
      <c r="M25" s="62">
        <f>(1-food_insecure)*(0.49)+food_insecure*(0.7)</f>
        <v>0.49188999999999994</v>
      </c>
      <c r="N25" s="62">
        <f>(1-food_insecure)*(0.49)+food_insecure*(0.7)</f>
        <v>0.49188999999999994</v>
      </c>
      <c r="O25" s="62">
        <f>(1-food_insecure)*(0.49)+food_insecure*(0.7)</f>
        <v>0.49188999999999994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8.4718995330047675E-2</v>
      </c>
      <c r="M26" s="62">
        <f>(1-food_insecure)*(0.21)+food_insecure*(0.3)</f>
        <v>0.21081</v>
      </c>
      <c r="N26" s="62">
        <f>(1-food_insecure)*(0.21)+food_insecure*(0.3)</f>
        <v>0.21081</v>
      </c>
      <c r="O26" s="62">
        <f>(1-food_insecure)*(0.21)+food_insecure*(0.3)</f>
        <v>0.21081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0.11947705190277109</v>
      </c>
      <c r="M27" s="62">
        <f>(1-food_insecure)*(0.3)</f>
        <v>0.29730000000000001</v>
      </c>
      <c r="N27" s="62">
        <f>(1-food_insecure)*(0.3)</f>
        <v>0.29730000000000001</v>
      </c>
      <c r="O27" s="62">
        <f>(1-food_insecure)*(0.3)</f>
        <v>0.29730000000000001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0.59812629699706998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156286.95439999999</v>
      </c>
      <c r="C2" s="50">
        <v>348000</v>
      </c>
      <c r="D2" s="50">
        <v>675000</v>
      </c>
      <c r="E2" s="50">
        <v>556000</v>
      </c>
      <c r="F2" s="50">
        <v>397000</v>
      </c>
      <c r="G2" s="17">
        <f t="shared" ref="G2:G16" si="0">C2+D2+E2+F2</f>
        <v>1976000</v>
      </c>
      <c r="H2" s="17">
        <f t="shared" ref="H2:H40" si="1">(B2 + stillbirth*B2/(1000-stillbirth))/(1-abortion)</f>
        <v>178821.05758553054</v>
      </c>
      <c r="I2" s="17">
        <f t="shared" ref="I2:I40" si="2">G2-H2</f>
        <v>1797178.9424144696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155037.00380000001</v>
      </c>
      <c r="C3" s="50">
        <v>351000</v>
      </c>
      <c r="D3" s="50">
        <v>673000</v>
      </c>
      <c r="E3" s="50">
        <v>572000</v>
      </c>
      <c r="F3" s="50">
        <v>409000</v>
      </c>
      <c r="G3" s="17">
        <f t="shared" si="0"/>
        <v>2005000</v>
      </c>
      <c r="H3" s="17">
        <f t="shared" si="1"/>
        <v>177390.88390865669</v>
      </c>
      <c r="I3" s="17">
        <f t="shared" si="2"/>
        <v>1827609.1160913433</v>
      </c>
    </row>
    <row r="4" spans="1:9" ht="15.75" customHeight="1" x14ac:dyDescent="0.25">
      <c r="A4" s="5">
        <f t="shared" si="3"/>
        <v>2023</v>
      </c>
      <c r="B4" s="49">
        <v>153660.72</v>
      </c>
      <c r="C4" s="50">
        <v>355000</v>
      </c>
      <c r="D4" s="50">
        <v>670000</v>
      </c>
      <c r="E4" s="50">
        <v>588000</v>
      </c>
      <c r="F4" s="50">
        <v>422000</v>
      </c>
      <c r="G4" s="17">
        <f t="shared" si="0"/>
        <v>2035000</v>
      </c>
      <c r="H4" s="17">
        <f t="shared" si="1"/>
        <v>175816.16178550399</v>
      </c>
      <c r="I4" s="17">
        <f t="shared" si="2"/>
        <v>1859183.8382144959</v>
      </c>
    </row>
    <row r="5" spans="1:9" ht="15.75" customHeight="1" x14ac:dyDescent="0.25">
      <c r="A5" s="5">
        <f t="shared" si="3"/>
        <v>2024</v>
      </c>
      <c r="B5" s="49">
        <v>152140.61199999999</v>
      </c>
      <c r="C5" s="50">
        <v>359000</v>
      </c>
      <c r="D5" s="50">
        <v>667000</v>
      </c>
      <c r="E5" s="50">
        <v>600000</v>
      </c>
      <c r="F5" s="50">
        <v>434000</v>
      </c>
      <c r="G5" s="17">
        <f t="shared" si="0"/>
        <v>2060000</v>
      </c>
      <c r="H5" s="17">
        <f t="shared" si="1"/>
        <v>174076.87829093597</v>
      </c>
      <c r="I5" s="17">
        <f t="shared" si="2"/>
        <v>1885923.1217090641</v>
      </c>
    </row>
    <row r="6" spans="1:9" ht="15.75" customHeight="1" x14ac:dyDescent="0.25">
      <c r="A6" s="5">
        <f t="shared" si="3"/>
        <v>2025</v>
      </c>
      <c r="B6" s="49">
        <v>150539.9</v>
      </c>
      <c r="C6" s="50">
        <v>362000</v>
      </c>
      <c r="D6" s="50">
        <v>666000</v>
      </c>
      <c r="E6" s="50">
        <v>612000</v>
      </c>
      <c r="F6" s="50">
        <v>448000</v>
      </c>
      <c r="G6" s="17">
        <f t="shared" si="0"/>
        <v>2088000</v>
      </c>
      <c r="H6" s="17">
        <f t="shared" si="1"/>
        <v>172245.36897636295</v>
      </c>
      <c r="I6" s="17">
        <f t="shared" si="2"/>
        <v>1915754.631023637</v>
      </c>
    </row>
    <row r="7" spans="1:9" ht="15.75" customHeight="1" x14ac:dyDescent="0.25">
      <c r="A7" s="5">
        <f t="shared" si="3"/>
        <v>2026</v>
      </c>
      <c r="B7" s="49">
        <v>149347.101</v>
      </c>
      <c r="C7" s="50">
        <v>364000</v>
      </c>
      <c r="D7" s="50">
        <v>666000</v>
      </c>
      <c r="E7" s="50">
        <v>622000</v>
      </c>
      <c r="F7" s="50">
        <v>463000</v>
      </c>
      <c r="G7" s="17">
        <f t="shared" si="0"/>
        <v>2115000</v>
      </c>
      <c r="H7" s="17">
        <f t="shared" si="1"/>
        <v>170880.58725490814</v>
      </c>
      <c r="I7" s="17">
        <f t="shared" si="2"/>
        <v>1944119.4127450918</v>
      </c>
    </row>
    <row r="8" spans="1:9" ht="15.75" customHeight="1" x14ac:dyDescent="0.25">
      <c r="A8" s="5">
        <f t="shared" si="3"/>
        <v>2027</v>
      </c>
      <c r="B8" s="49">
        <v>148069.728</v>
      </c>
      <c r="C8" s="50">
        <v>364000</v>
      </c>
      <c r="D8" s="50">
        <v>668000</v>
      </c>
      <c r="E8" s="50">
        <v>630000</v>
      </c>
      <c r="F8" s="50">
        <v>478000</v>
      </c>
      <c r="G8" s="17">
        <f t="shared" si="0"/>
        <v>2140000</v>
      </c>
      <c r="H8" s="17">
        <f t="shared" si="1"/>
        <v>169419.03730233447</v>
      </c>
      <c r="I8" s="17">
        <f t="shared" si="2"/>
        <v>1970580.9626976654</v>
      </c>
    </row>
    <row r="9" spans="1:9" ht="15.75" customHeight="1" x14ac:dyDescent="0.25">
      <c r="A9" s="5">
        <f t="shared" si="3"/>
        <v>2028</v>
      </c>
      <c r="B9" s="49">
        <v>146690.31299999999</v>
      </c>
      <c r="C9" s="50">
        <v>364000</v>
      </c>
      <c r="D9" s="50">
        <v>670000</v>
      </c>
      <c r="E9" s="50">
        <v>636000</v>
      </c>
      <c r="F9" s="50">
        <v>493000</v>
      </c>
      <c r="G9" s="17">
        <f t="shared" si="0"/>
        <v>2163000</v>
      </c>
      <c r="H9" s="17">
        <f t="shared" si="1"/>
        <v>167840.73250974106</v>
      </c>
      <c r="I9" s="17">
        <f t="shared" si="2"/>
        <v>1995159.2674902589</v>
      </c>
    </row>
    <row r="10" spans="1:9" ht="15.75" customHeight="1" x14ac:dyDescent="0.25">
      <c r="A10" s="5">
        <f t="shared" si="3"/>
        <v>2029</v>
      </c>
      <c r="B10" s="49">
        <v>145211.11799999999</v>
      </c>
      <c r="C10" s="50">
        <v>364000</v>
      </c>
      <c r="D10" s="50">
        <v>673000</v>
      </c>
      <c r="E10" s="50">
        <v>640000</v>
      </c>
      <c r="F10" s="50">
        <v>508000</v>
      </c>
      <c r="G10" s="17">
        <f t="shared" si="0"/>
        <v>2185000</v>
      </c>
      <c r="H10" s="17">
        <f t="shared" si="1"/>
        <v>166148.26102169708</v>
      </c>
      <c r="I10" s="17">
        <f t="shared" si="2"/>
        <v>2018851.738978303</v>
      </c>
    </row>
    <row r="11" spans="1:9" ht="15.75" customHeight="1" x14ac:dyDescent="0.25">
      <c r="A11" s="5">
        <f t="shared" si="3"/>
        <v>2030</v>
      </c>
      <c r="B11" s="49">
        <v>143634.405</v>
      </c>
      <c r="C11" s="50">
        <v>364000</v>
      </c>
      <c r="D11" s="50">
        <v>677000</v>
      </c>
      <c r="E11" s="50">
        <v>642000</v>
      </c>
      <c r="F11" s="50">
        <v>524000</v>
      </c>
      <c r="G11" s="17">
        <f t="shared" si="0"/>
        <v>2207000</v>
      </c>
      <c r="H11" s="17">
        <f t="shared" si="1"/>
        <v>164344.21098277168</v>
      </c>
      <c r="I11" s="17">
        <f t="shared" si="2"/>
        <v>2042655.7890172284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0</v>
      </c>
    </row>
    <row r="4" spans="1:8" ht="15.75" customHeight="1" x14ac:dyDescent="0.25">
      <c r="B4" s="19" t="s">
        <v>69</v>
      </c>
      <c r="C4" s="51">
        <v>7.663297009602181E-2</v>
      </c>
    </row>
    <row r="5" spans="1:8" ht="15.75" customHeight="1" x14ac:dyDescent="0.25">
      <c r="B5" s="19" t="s">
        <v>70</v>
      </c>
      <c r="C5" s="51">
        <v>3.8092956289079848E-2</v>
      </c>
    </row>
    <row r="6" spans="1:8" ht="15.75" customHeight="1" x14ac:dyDescent="0.25">
      <c r="B6" s="19" t="s">
        <v>71</v>
      </c>
      <c r="C6" s="51">
        <v>0.25007799537184888</v>
      </c>
    </row>
    <row r="7" spans="1:8" ht="15.75" customHeight="1" x14ac:dyDescent="0.25">
      <c r="B7" s="19" t="s">
        <v>72</v>
      </c>
      <c r="C7" s="51">
        <v>0.47414589933038431</v>
      </c>
    </row>
    <row r="8" spans="1:8" ht="15.75" customHeight="1" x14ac:dyDescent="0.25">
      <c r="B8" s="19" t="s">
        <v>73</v>
      </c>
      <c r="C8" s="51">
        <v>0</v>
      </c>
    </row>
    <row r="9" spans="1:8" ht="15.75" customHeight="1" x14ac:dyDescent="0.25">
      <c r="B9" s="19" t="s">
        <v>74</v>
      </c>
      <c r="C9" s="51">
        <v>0.14158262098607469</v>
      </c>
    </row>
    <row r="10" spans="1:8" ht="15.75" customHeight="1" x14ac:dyDescent="0.25">
      <c r="B10" s="19" t="s">
        <v>75</v>
      </c>
      <c r="C10" s="51">
        <v>1.9467557926590381E-2</v>
      </c>
    </row>
    <row r="11" spans="1:8" ht="15.75" customHeight="1" x14ac:dyDescent="0.25">
      <c r="B11" s="27" t="s">
        <v>30</v>
      </c>
      <c r="C11" s="47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8.0492956129596754E-2</v>
      </c>
      <c r="D14" s="51">
        <v>8.0492956129596754E-2</v>
      </c>
      <c r="E14" s="51">
        <v>8.0492956129596754E-2</v>
      </c>
      <c r="F14" s="51">
        <v>8.0492956129596754E-2</v>
      </c>
    </row>
    <row r="15" spans="1:8" ht="15.75" customHeight="1" x14ac:dyDescent="0.25">
      <c r="B15" s="19" t="s">
        <v>82</v>
      </c>
      <c r="C15" s="51">
        <v>0.38469936037875541</v>
      </c>
      <c r="D15" s="51">
        <v>0.38469936037875541</v>
      </c>
      <c r="E15" s="51">
        <v>0.38469936037875541</v>
      </c>
      <c r="F15" s="51">
        <v>0.38469936037875541</v>
      </c>
    </row>
    <row r="16" spans="1:8" ht="15.75" customHeight="1" x14ac:dyDescent="0.25">
      <c r="B16" s="19" t="s">
        <v>83</v>
      </c>
      <c r="C16" s="51">
        <v>2.8526052315017768E-2</v>
      </c>
      <c r="D16" s="51">
        <v>2.8526052315017768E-2</v>
      </c>
      <c r="E16" s="51">
        <v>2.8526052315017768E-2</v>
      </c>
      <c r="F16" s="51">
        <v>2.8526052315017768E-2</v>
      </c>
    </row>
    <row r="17" spans="1:8" ht="15.75" customHeight="1" x14ac:dyDescent="0.25">
      <c r="B17" s="19" t="s">
        <v>84</v>
      </c>
      <c r="C17" s="51">
        <v>9.4542184328871165E-4</v>
      </c>
      <c r="D17" s="51">
        <v>9.4542184328871165E-4</v>
      </c>
      <c r="E17" s="51">
        <v>9.4542184328871165E-4</v>
      </c>
      <c r="F17" s="51">
        <v>9.4542184328871165E-4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2.3027212603509099E-3</v>
      </c>
      <c r="D19" s="51">
        <v>2.3027212603509099E-3</v>
      </c>
      <c r="E19" s="51">
        <v>2.3027212603509099E-3</v>
      </c>
      <c r="F19" s="51">
        <v>2.3027212603509099E-3</v>
      </c>
    </row>
    <row r="20" spans="1:8" ht="15.75" customHeight="1" x14ac:dyDescent="0.25">
      <c r="B20" s="19" t="s">
        <v>87</v>
      </c>
      <c r="C20" s="51">
        <v>1.1899019892305769E-2</v>
      </c>
      <c r="D20" s="51">
        <v>1.1899019892305769E-2</v>
      </c>
      <c r="E20" s="51">
        <v>1.1899019892305769E-2</v>
      </c>
      <c r="F20" s="51">
        <v>1.1899019892305769E-2</v>
      </c>
    </row>
    <row r="21" spans="1:8" ht="15.75" customHeight="1" x14ac:dyDescent="0.25">
      <c r="B21" s="19" t="s">
        <v>88</v>
      </c>
      <c r="C21" s="51">
        <v>0.14829440870862939</v>
      </c>
      <c r="D21" s="51">
        <v>0.14829440870862939</v>
      </c>
      <c r="E21" s="51">
        <v>0.14829440870862939</v>
      </c>
      <c r="F21" s="51">
        <v>0.14829440870862939</v>
      </c>
    </row>
    <row r="22" spans="1:8" ht="15.75" customHeight="1" x14ac:dyDescent="0.25">
      <c r="B22" s="19" t="s">
        <v>89</v>
      </c>
      <c r="C22" s="51">
        <v>0.3428400594720552</v>
      </c>
      <c r="D22" s="51">
        <v>0.3428400594720552</v>
      </c>
      <c r="E22" s="51">
        <v>0.3428400594720552</v>
      </c>
      <c r="F22" s="51">
        <v>0.3428400594720552</v>
      </c>
    </row>
    <row r="23" spans="1:8" ht="15.75" customHeight="1" x14ac:dyDescent="0.25">
      <c r="B23" s="27" t="s">
        <v>30</v>
      </c>
      <c r="C23" s="47">
        <f>SUM(C14:C22)</f>
        <v>0.99999999999999989</v>
      </c>
      <c r="D23" s="47">
        <f>SUM(D14:D22)</f>
        <v>0.99999999999999989</v>
      </c>
      <c r="E23" s="47">
        <f>SUM(E14:E22)</f>
        <v>0.99999999999999989</v>
      </c>
      <c r="F23" s="47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8.6989028999999995E-2</v>
      </c>
    </row>
    <row r="27" spans="1:8" ht="15.75" customHeight="1" x14ac:dyDescent="0.25">
      <c r="B27" s="19" t="s">
        <v>92</v>
      </c>
      <c r="C27" s="51">
        <v>5.4674084999999983E-2</v>
      </c>
    </row>
    <row r="28" spans="1:8" ht="15.75" customHeight="1" x14ac:dyDescent="0.25">
      <c r="B28" s="19" t="s">
        <v>93</v>
      </c>
      <c r="C28" s="51">
        <v>7.8007822000000004E-2</v>
      </c>
    </row>
    <row r="29" spans="1:8" ht="15.75" customHeight="1" x14ac:dyDescent="0.25">
      <c r="B29" s="19" t="s">
        <v>94</v>
      </c>
      <c r="C29" s="51">
        <v>0.25304623700000001</v>
      </c>
    </row>
    <row r="30" spans="1:8" ht="15.75" customHeight="1" x14ac:dyDescent="0.25">
      <c r="B30" s="19" t="s">
        <v>95</v>
      </c>
      <c r="C30" s="51">
        <v>6.4168437999999994E-2</v>
      </c>
    </row>
    <row r="31" spans="1:8" ht="15.75" customHeight="1" x14ac:dyDescent="0.25">
      <c r="B31" s="19" t="s">
        <v>96</v>
      </c>
      <c r="C31" s="51">
        <v>3.8459681000000003E-2</v>
      </c>
    </row>
    <row r="32" spans="1:8" ht="15.75" customHeight="1" x14ac:dyDescent="0.25">
      <c r="B32" s="19" t="s">
        <v>97</v>
      </c>
      <c r="C32" s="51">
        <v>7.8795084000000001E-2</v>
      </c>
    </row>
    <row r="33" spans="2:3" ht="15.75" customHeight="1" x14ac:dyDescent="0.25">
      <c r="B33" s="19" t="s">
        <v>98</v>
      </c>
      <c r="C33" s="51">
        <v>6.8855599000000017E-2</v>
      </c>
    </row>
    <row r="34" spans="2:3" ht="15.75" customHeight="1" x14ac:dyDescent="0.25">
      <c r="B34" s="19" t="s">
        <v>99</v>
      </c>
      <c r="C34" s="51">
        <v>0.27700402600000001</v>
      </c>
    </row>
    <row r="35" spans="2:3" ht="15.75" customHeight="1" x14ac:dyDescent="0.25">
      <c r="B35" s="27" t="s">
        <v>30</v>
      </c>
      <c r="C35" s="47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0.72671792628404508</v>
      </c>
      <c r="D2" s="52">
        <f>IFERROR(1-_xlfn.NORM.DIST(_xlfn.NORM.INV(SUM(D4:D5), 0, 1) + 1, 0, 1, TRUE), "")</f>
        <v>0.72671792628404508</v>
      </c>
      <c r="E2" s="52">
        <f>IFERROR(1-_xlfn.NORM.DIST(_xlfn.NORM.INV(SUM(E4:E5), 0, 1) + 1, 0, 1, TRUE), "")</f>
        <v>0.62659136286067285</v>
      </c>
      <c r="F2" s="52">
        <f>IFERROR(1-_xlfn.NORM.DIST(_xlfn.NORM.INV(SUM(F4:F5), 0, 1) + 1, 0, 1, TRUE), "")</f>
        <v>0.51965403947390543</v>
      </c>
      <c r="G2" s="52">
        <f>IFERROR(1-_xlfn.NORM.DIST(_xlfn.NORM.INV(SUM(G4:G5), 0, 1) + 1, 0, 1, TRUE), "")</f>
        <v>0.56275776040323966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0.21880554371595493</v>
      </c>
      <c r="D3" s="52">
        <f>IFERROR(_xlfn.NORM.DIST(_xlfn.NORM.INV(SUM(D4:D5), 0, 1) + 1, 0, 1, TRUE) - SUM(D4:D5), "")</f>
        <v>0.21880554371595493</v>
      </c>
      <c r="E3" s="52">
        <f>IFERROR(_xlfn.NORM.DIST(_xlfn.NORM.INV(SUM(E4:E5), 0, 1) + 1, 0, 1, TRUE) - SUM(E4:E5), "")</f>
        <v>0.28046415313932715</v>
      </c>
      <c r="F3" s="52">
        <f>IFERROR(_xlfn.NORM.DIST(_xlfn.NORM.INV(SUM(F4:F5), 0, 1) + 1, 0, 1, TRUE) - SUM(F4:F5), "")</f>
        <v>0.33332254952609458</v>
      </c>
      <c r="G3" s="52">
        <f>IFERROR(_xlfn.NORM.DIST(_xlfn.NORM.INV(SUM(G4:G5), 0, 1) + 1, 0, 1, TRUE) - SUM(G4:G5), "")</f>
        <v>0.31380305359676042</v>
      </c>
    </row>
    <row r="4" spans="1:15" ht="15.75" customHeight="1" x14ac:dyDescent="0.25">
      <c r="B4" s="5" t="s">
        <v>104</v>
      </c>
      <c r="C4" s="53">
        <v>3.5780458000000001E-2</v>
      </c>
      <c r="D4" s="53">
        <v>3.5780458000000001E-2</v>
      </c>
      <c r="E4" s="53">
        <v>3.1043935000000002E-2</v>
      </c>
      <c r="F4" s="53">
        <v>0.11139776</v>
      </c>
      <c r="G4" s="53">
        <v>9.334521300000001E-2</v>
      </c>
    </row>
    <row r="5" spans="1:15" ht="15.75" customHeight="1" x14ac:dyDescent="0.25">
      <c r="B5" s="5" t="s">
        <v>105</v>
      </c>
      <c r="C5" s="53">
        <v>1.8696072000000001E-2</v>
      </c>
      <c r="D5" s="53">
        <v>1.8696072000000001E-2</v>
      </c>
      <c r="E5" s="53">
        <v>6.1900548999999999E-2</v>
      </c>
      <c r="F5" s="53">
        <v>3.5625651000000001E-2</v>
      </c>
      <c r="G5" s="53">
        <v>3.0093973E-2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0.73878724235456128</v>
      </c>
      <c r="D8" s="52">
        <f>IFERROR(1-_xlfn.NORM.DIST(_xlfn.NORM.INV(SUM(D10:D11), 0, 1) + 1, 0, 1, TRUE), "")</f>
        <v>0.73878724235456128</v>
      </c>
      <c r="E8" s="52">
        <f>IFERROR(1-_xlfn.NORM.DIST(_xlfn.NORM.INV(SUM(E10:E11), 0, 1) + 1, 0, 1, TRUE), "")</f>
        <v>0.8109213034353947</v>
      </c>
      <c r="F8" s="52">
        <f>IFERROR(1-_xlfn.NORM.DIST(_xlfn.NORM.INV(SUM(F10:F11), 0, 1) + 1, 0, 1, TRUE), "")</f>
        <v>0.85378708761415101</v>
      </c>
      <c r="G8" s="52">
        <f>IFERROR(1-_xlfn.NORM.DIST(_xlfn.NORM.INV(SUM(G10:G11), 0, 1) + 1, 0, 1, TRUE), "")</f>
        <v>0.88685092647358732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0.21066972264543871</v>
      </c>
      <c r="D9" s="52">
        <f>IFERROR(_xlfn.NORM.DIST(_xlfn.NORM.INV(SUM(D10:D11), 0, 1) + 1, 0, 1, TRUE) - SUM(D10:D11), "")</f>
        <v>0.21066972264543871</v>
      </c>
      <c r="E9" s="52">
        <f>IFERROR(_xlfn.NORM.DIST(_xlfn.NORM.INV(SUM(E10:E11), 0, 1) + 1, 0, 1, TRUE) - SUM(E10:E11), "")</f>
        <v>0.15911289396460529</v>
      </c>
      <c r="F9" s="52">
        <f>IFERROR(_xlfn.NORM.DIST(_xlfn.NORM.INV(SUM(F10:F11), 0, 1) + 1, 0, 1, TRUE) - SUM(F10:F11), "")</f>
        <v>0.12616764698584898</v>
      </c>
      <c r="G9" s="52">
        <f>IFERROR(_xlfn.NORM.DIST(_xlfn.NORM.INV(SUM(G10:G11), 0, 1) + 1, 0, 1, TRUE) - SUM(G10:G11), "")</f>
        <v>9.9594751126412723E-2</v>
      </c>
    </row>
    <row r="10" spans="1:15" ht="15.75" customHeight="1" x14ac:dyDescent="0.25">
      <c r="B10" s="5" t="s">
        <v>109</v>
      </c>
      <c r="C10" s="53">
        <v>3.4095843000000001E-2</v>
      </c>
      <c r="D10" s="53">
        <v>3.4095843000000001E-2</v>
      </c>
      <c r="E10" s="53">
        <v>2.0798855000000002E-2</v>
      </c>
      <c r="F10" s="53">
        <v>1.0730869000000001E-2</v>
      </c>
      <c r="G10" s="53">
        <v>9.4171369000000012E-3</v>
      </c>
    </row>
    <row r="11" spans="1:15" ht="15.75" customHeight="1" x14ac:dyDescent="0.25">
      <c r="B11" s="5" t="s">
        <v>110</v>
      </c>
      <c r="C11" s="53">
        <v>1.6447191999999999E-2</v>
      </c>
      <c r="D11" s="53">
        <v>1.6447191999999999E-2</v>
      </c>
      <c r="E11" s="53">
        <v>9.166947600000001E-3</v>
      </c>
      <c r="F11" s="53">
        <v>9.314396400000001E-3</v>
      </c>
      <c r="G11" s="53">
        <v>4.1371855000000004E-3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0.50327564699999994</v>
      </c>
      <c r="D14" s="54">
        <v>0.51439987297800005</v>
      </c>
      <c r="E14" s="54">
        <v>0.51439987297800005</v>
      </c>
      <c r="F14" s="54">
        <v>0.32239856251900001</v>
      </c>
      <c r="G14" s="54">
        <v>0.32239856251900001</v>
      </c>
      <c r="H14" s="55">
        <v>0.39800000000000002</v>
      </c>
      <c r="I14" s="55">
        <v>0.39800000000000002</v>
      </c>
      <c r="J14" s="55">
        <v>0.39800000000000002</v>
      </c>
      <c r="K14" s="55">
        <v>0.39800000000000002</v>
      </c>
      <c r="L14" s="55">
        <v>0.35899999999999999</v>
      </c>
      <c r="M14" s="55">
        <v>0.35899999999999999</v>
      </c>
      <c r="N14" s="55">
        <v>0.35899999999999999</v>
      </c>
      <c r="O14" s="55">
        <v>0.35899999999999999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0.29642482660217701</v>
      </c>
      <c r="D15" s="52">
        <f t="shared" si="0"/>
        <v>0.30297689558518526</v>
      </c>
      <c r="E15" s="52">
        <f t="shared" si="0"/>
        <v>0.30297689558518526</v>
      </c>
      <c r="F15" s="52">
        <f t="shared" si="0"/>
        <v>0.18988985173662834</v>
      </c>
      <c r="G15" s="52">
        <f t="shared" si="0"/>
        <v>0.18988985173662834</v>
      </c>
      <c r="H15" s="52">
        <f t="shared" si="0"/>
        <v>0.23441841800000002</v>
      </c>
      <c r="I15" s="52">
        <f t="shared" si="0"/>
        <v>0.23441841800000002</v>
      </c>
      <c r="J15" s="52">
        <f t="shared" si="0"/>
        <v>0.23441841800000002</v>
      </c>
      <c r="K15" s="52">
        <f t="shared" si="0"/>
        <v>0.23441841800000002</v>
      </c>
      <c r="L15" s="52">
        <f t="shared" si="0"/>
        <v>0.21144776900000001</v>
      </c>
      <c r="M15" s="52">
        <f t="shared" si="0"/>
        <v>0.21144776900000001</v>
      </c>
      <c r="N15" s="52">
        <f t="shared" si="0"/>
        <v>0.21144776900000001</v>
      </c>
      <c r="O15" s="52">
        <f t="shared" si="0"/>
        <v>0.21144776900000001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0.70550790000000008</v>
      </c>
      <c r="D2" s="53">
        <v>0.41442689999999999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0.14739630000000001</v>
      </c>
      <c r="D3" s="53">
        <v>0.24610799999999999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0.1441006</v>
      </c>
      <c r="D4" s="53">
        <v>0.319693</v>
      </c>
      <c r="E4" s="53">
        <v>0.8713654279708859</v>
      </c>
      <c r="F4" s="53">
        <v>0.39406397938728299</v>
      </c>
      <c r="G4" s="53">
        <v>0</v>
      </c>
    </row>
    <row r="5" spans="1:7" x14ac:dyDescent="0.25">
      <c r="B5" s="3" t="s">
        <v>122</v>
      </c>
      <c r="C5" s="52">
        <v>2.9952400000000001E-3</v>
      </c>
      <c r="D5" s="52">
        <v>1.9772100000000001E-2</v>
      </c>
      <c r="E5" s="52">
        <f>1-SUM(E2:E4)</f>
        <v>0.1286345720291141</v>
      </c>
      <c r="F5" s="52">
        <f>1-SUM(F2:F4)</f>
        <v>0.60593602061271701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2023-01-17T02:33:30Z</dcterms:modified>
</cp:coreProperties>
</file>