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4AD27CAA-FD25-498D-BAE3-E0CC9A937789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<sst xmlns="http://schemas.openxmlformats.org/spreadsheetml/2006/main" count="2089" uniqueCount="342">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</sst>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1980170.390625</v>
      </c>
    </row>
    <row r="8" spans="1:3" ht="15" customHeight="1" x14ac:dyDescent="0.25">
      <c r="B8" s="5" t="s">
        <v>8</v>
      </c>
      <c r="C8" s="44">
        <v>0.33900000000000002</v>
      </c>
    </row>
    <row r="9" spans="1:3" ht="15" customHeight="1" x14ac:dyDescent="0.25">
      <c r="B9" s="5" t="s">
        <v>9</v>
      </c>
      <c r="C9" s="45">
        <v>0.54</v>
      </c>
    </row>
    <row r="10" spans="1:3" ht="15" customHeight="1" x14ac:dyDescent="0.25">
      <c r="B10" s="5" t="s">
        <v>10</v>
      </c>
      <c r="C10" s="45">
        <v>0.44076328277587901</v>
      </c>
    </row>
    <row r="11" spans="1:3" ht="15" customHeight="1" x14ac:dyDescent="0.25">
      <c r="B11" s="5" t="s">
        <v>11</v>
      </c>
      <c r="C11" s="44">
        <v>0.75700000000000001</v>
      </c>
    </row>
    <row r="12" spans="1:3" ht="15" customHeight="1" x14ac:dyDescent="0.25">
      <c r="B12" s="5" t="s">
        <v>12</v>
      </c>
      <c r="C12" s="44">
        <v>0.498</v>
      </c>
    </row>
    <row r="13" spans="1:3" ht="15" customHeight="1" x14ac:dyDescent="0.25">
      <c r="B13" s="5" t="s">
        <v>13</v>
      </c>
      <c r="C13" s="44">
        <v>0.14799999999999999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0.14299999999999999</v>
      </c>
    </row>
    <row r="24" spans="1:3" ht="15" customHeight="1" x14ac:dyDescent="0.25">
      <c r="B24" s="15" t="s">
        <v>22</v>
      </c>
      <c r="C24" s="45">
        <v>0.49020000000000002</v>
      </c>
    </row>
    <row r="25" spans="1:3" ht="15" customHeight="1" x14ac:dyDescent="0.25">
      <c r="B25" s="15" t="s">
        <v>23</v>
      </c>
      <c r="C25" s="45">
        <v>0.31659999999999999</v>
      </c>
    </row>
    <row r="26" spans="1:3" ht="15" customHeight="1" x14ac:dyDescent="0.25">
      <c r="B26" s="15" t="s">
        <v>24</v>
      </c>
      <c r="C26" s="45">
        <v>5.0199999999999988E-2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0.26023901469219302</v>
      </c>
    </row>
    <row r="30" spans="1:3" ht="14.25" customHeight="1" x14ac:dyDescent="0.25">
      <c r="B30" s="25" t="s">
        <v>27</v>
      </c>
      <c r="C30" s="100">
        <v>3.0772499459076799E-2</v>
      </c>
    </row>
    <row r="31" spans="1:3" ht="14.25" customHeight="1" x14ac:dyDescent="0.25">
      <c r="B31" s="25" t="s">
        <v>28</v>
      </c>
      <c r="C31" s="100">
        <v>5.3241858668402697E-2</v>
      </c>
    </row>
    <row r="32" spans="1:3" ht="14.25" customHeight="1" x14ac:dyDescent="0.25">
      <c r="B32" s="25" t="s">
        <v>29</v>
      </c>
      <c r="C32" s="100">
        <v>0.65574662718032795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25.864264873084501</v>
      </c>
    </row>
    <row r="38" spans="1:5" ht="15" customHeight="1" x14ac:dyDescent="0.25">
      <c r="B38" s="11" t="s">
        <v>34</v>
      </c>
      <c r="C38" s="43">
        <v>38.423775587698401</v>
      </c>
      <c r="D38" s="12"/>
      <c r="E38" s="13"/>
    </row>
    <row r="39" spans="1:5" ht="15" customHeight="1" x14ac:dyDescent="0.25">
      <c r="B39" s="11" t="s">
        <v>35</v>
      </c>
      <c r="C39" s="43">
        <v>54.612967442693602</v>
      </c>
      <c r="D39" s="12"/>
      <c r="E39" s="12"/>
    </row>
    <row r="40" spans="1:5" ht="15" customHeight="1" x14ac:dyDescent="0.25">
      <c r="B40" s="11" t="s">
        <v>36</v>
      </c>
      <c r="C40" s="99">
        <v>4.58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16.046522209999999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2.6584400000000001E-2</v>
      </c>
      <c r="D45" s="12"/>
    </row>
    <row r="46" spans="1:5" ht="15.75" customHeight="1" x14ac:dyDescent="0.25">
      <c r="B46" s="11" t="s">
        <v>41</v>
      </c>
      <c r="C46" s="45">
        <v>0.13893900000000001</v>
      </c>
      <c r="D46" s="12"/>
    </row>
    <row r="47" spans="1:5" ht="15.75" customHeight="1" x14ac:dyDescent="0.25">
      <c r="B47" s="11" t="s">
        <v>42</v>
      </c>
      <c r="C47" s="45">
        <v>0.19298950000000001</v>
      </c>
      <c r="D47" s="12"/>
      <c r="E47" s="13"/>
    </row>
    <row r="48" spans="1:5" ht="15" customHeight="1" x14ac:dyDescent="0.25">
      <c r="B48" s="11" t="s">
        <v>43</v>
      </c>
      <c r="C48" s="46">
        <v>0.64148709999999998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0.51205699999999998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0.12628009000000001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0.68361819281576497</v>
      </c>
      <c r="C2" s="57">
        <v>0.95</v>
      </c>
      <c r="D2" s="58">
        <v>38.160776266150833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47.437843551227417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102.9076648678451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0.45690560806451591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0.28682710081356799</v>
      </c>
      <c r="C10" s="57">
        <v>0.95</v>
      </c>
      <c r="D10" s="58">
        <v>15.09709288172251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0.28682710081356799</v>
      </c>
      <c r="C11" s="57">
        <v>0.95</v>
      </c>
      <c r="D11" s="58">
        <v>15.09709288172251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0.28682710081356799</v>
      </c>
      <c r="C12" s="57">
        <v>0.95</v>
      </c>
      <c r="D12" s="58">
        <v>15.09709288172251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0.28682710081356799</v>
      </c>
      <c r="C13" s="57">
        <v>0.95</v>
      </c>
      <c r="D13" s="58">
        <v>15.09709288172251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0.28682710081356799</v>
      </c>
      <c r="C14" s="57">
        <v>0.95</v>
      </c>
      <c r="D14" s="58">
        <v>15.09709288172251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0.28682710081356799</v>
      </c>
      <c r="C15" s="57">
        <v>0.95</v>
      </c>
      <c r="D15" s="58">
        <v>15.09709288172251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0.29966946653826387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0.2755978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0.4</v>
      </c>
      <c r="C18" s="57">
        <v>0.95</v>
      </c>
      <c r="D18" s="58">
        <v>2.4661440905760248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2.4661440905760248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0.85498660000000004</v>
      </c>
      <c r="C21" s="57">
        <v>0.95</v>
      </c>
      <c r="D21" s="58">
        <v>3.3085818740876318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25.756145724245069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4.9613185520035712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0.17955650535393999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0.27827320057476801</v>
      </c>
      <c r="C27" s="57">
        <v>0.95</v>
      </c>
      <c r="D27" s="58">
        <v>21.789130572923639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0.36221397559649399</v>
      </c>
      <c r="C29" s="57">
        <v>0.95</v>
      </c>
      <c r="D29" s="58">
        <v>68.300854175426551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0.8470232226654113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1.31080195E-3</v>
      </c>
      <c r="C32" s="57">
        <v>0.95</v>
      </c>
      <c r="D32" s="58">
        <v>0.58527783165992031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0.64379720000000007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0.39527390000000001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2.853427E-3</v>
      </c>
      <c r="C38" s="57">
        <v>0.95</v>
      </c>
      <c r="D38" s="58">
        <v>5.2830002631247943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0.309959402329336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6.8118291800000008E-2</v>
      </c>
      <c r="C3" s="21">
        <f>frac_mam_1_5months * 2.6</f>
        <v>6.8118291800000008E-2</v>
      </c>
      <c r="D3" s="21">
        <f>frac_mam_6_11months * 2.6</f>
        <v>9.5229664399999997E-2</v>
      </c>
      <c r="E3" s="21">
        <f>frac_mam_12_23months * 2.6</f>
        <v>0.1015080872</v>
      </c>
      <c r="F3" s="21">
        <f>frac_mam_24_59months * 2.6</f>
        <v>5.0238804200000001E-2</v>
      </c>
    </row>
    <row r="4" spans="1:6" ht="15.75" customHeight="1" x14ac:dyDescent="0.25">
      <c r="A4" s="3" t="s">
        <v>205</v>
      </c>
      <c r="B4" s="21">
        <f>frac_sam_1month * 2.6</f>
        <v>2.2207817840000001E-2</v>
      </c>
      <c r="C4" s="21">
        <f>frac_sam_1_5months * 2.6</f>
        <v>2.2207817840000001E-2</v>
      </c>
      <c r="D4" s="21">
        <f>frac_sam_6_11months * 2.6</f>
        <v>1.136269914E-2</v>
      </c>
      <c r="E4" s="21">
        <f>frac_sam_12_23months * 2.6</f>
        <v>1.2650812200000002E-2</v>
      </c>
      <c r="F4" s="21">
        <f>frac_sam_24_59months * 2.6</f>
        <v>4.5790568199999999E-3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0.33900000000000002</v>
      </c>
      <c r="E2" s="62">
        <f>food_insecure</f>
        <v>0.33900000000000002</v>
      </c>
      <c r="F2" s="62">
        <f>food_insecure</f>
        <v>0.33900000000000002</v>
      </c>
      <c r="G2" s="62">
        <f>food_insecure</f>
        <v>0.33900000000000002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0.33900000000000002</v>
      </c>
      <c r="F5" s="62">
        <f>food_insecure</f>
        <v>0.33900000000000002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0.33900000000000002</v>
      </c>
      <c r="F8" s="62">
        <f>food_insecure</f>
        <v>0.33900000000000002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0.33900000000000002</v>
      </c>
      <c r="F9" s="62">
        <f>food_insecure</f>
        <v>0.33900000000000002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0.498</v>
      </c>
      <c r="E10" s="62">
        <f>IF(ISBLANK(comm_deliv), frac_children_health_facility,1)</f>
        <v>0.498</v>
      </c>
      <c r="F10" s="62">
        <f>IF(ISBLANK(comm_deliv), frac_children_health_facility,1)</f>
        <v>0.498</v>
      </c>
      <c r="G10" s="62">
        <f>IF(ISBLANK(comm_deliv), frac_children_health_facility,1)</f>
        <v>0.498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0.33900000000000002</v>
      </c>
      <c r="I15" s="62">
        <f>food_insecure</f>
        <v>0.33900000000000002</v>
      </c>
      <c r="J15" s="62">
        <f>food_insecure</f>
        <v>0.33900000000000002</v>
      </c>
      <c r="K15" s="62">
        <f>food_insecure</f>
        <v>0.33900000000000002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0.75700000000000001</v>
      </c>
      <c r="I18" s="62">
        <f>frac_PW_health_facility</f>
        <v>0.75700000000000001</v>
      </c>
      <c r="J18" s="62">
        <f>frac_PW_health_facility</f>
        <v>0.75700000000000001</v>
      </c>
      <c r="K18" s="62">
        <f>frac_PW_health_facility</f>
        <v>0.75700000000000001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0.54</v>
      </c>
      <c r="I19" s="62">
        <f>frac_malaria_risk</f>
        <v>0.54</v>
      </c>
      <c r="J19" s="62">
        <f>frac_malaria_risk</f>
        <v>0.54</v>
      </c>
      <c r="K19" s="62">
        <f>frac_malaria_risk</f>
        <v>0.54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0.14799999999999999</v>
      </c>
      <c r="M24" s="62">
        <f>famplan_unmet_need</f>
        <v>0.14799999999999999</v>
      </c>
      <c r="N24" s="62">
        <f>famplan_unmet_need</f>
        <v>0.14799999999999999</v>
      </c>
      <c r="O24" s="62">
        <f>famplan_unmet_need</f>
        <v>0.14799999999999999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0.3138380533390045</v>
      </c>
      <c r="M25" s="62">
        <f>(1-food_insecure)*(0.49)+food_insecure*(0.7)</f>
        <v>0.56119000000000008</v>
      </c>
      <c r="N25" s="62">
        <f>(1-food_insecure)*(0.49)+food_insecure*(0.7)</f>
        <v>0.56119000000000008</v>
      </c>
      <c r="O25" s="62">
        <f>(1-food_insecure)*(0.49)+food_insecure*(0.7)</f>
        <v>0.56119000000000008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0.13450202285957336</v>
      </c>
      <c r="M26" s="62">
        <f>(1-food_insecure)*(0.21)+food_insecure*(0.3)</f>
        <v>0.24051</v>
      </c>
      <c r="N26" s="62">
        <f>(1-food_insecure)*(0.21)+food_insecure*(0.3)</f>
        <v>0.24051</v>
      </c>
      <c r="O26" s="62">
        <f>(1-food_insecure)*(0.21)+food_insecure*(0.3)</f>
        <v>0.24051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0.11089664102554321</v>
      </c>
      <c r="M27" s="62">
        <f>(1-food_insecure)*(0.3)</f>
        <v>0.1983</v>
      </c>
      <c r="N27" s="62">
        <f>(1-food_insecure)*(0.3)</f>
        <v>0.1983</v>
      </c>
      <c r="O27" s="62">
        <f>(1-food_insecure)*(0.3)</f>
        <v>0.1983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0.44076328277587906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0.54</v>
      </c>
      <c r="D34" s="62">
        <f t="shared" si="3"/>
        <v>0.54</v>
      </c>
      <c r="E34" s="62">
        <f t="shared" si="3"/>
        <v>0.54</v>
      </c>
      <c r="F34" s="62">
        <f t="shared" si="3"/>
        <v>0.54</v>
      </c>
      <c r="G34" s="62">
        <f t="shared" si="3"/>
        <v>0.54</v>
      </c>
      <c r="H34" s="62">
        <f t="shared" si="3"/>
        <v>0.54</v>
      </c>
      <c r="I34" s="62">
        <f t="shared" si="3"/>
        <v>0.54</v>
      </c>
      <c r="J34" s="62">
        <f t="shared" si="3"/>
        <v>0.54</v>
      </c>
      <c r="K34" s="62">
        <f t="shared" si="3"/>
        <v>0.54</v>
      </c>
      <c r="L34" s="62">
        <f t="shared" si="3"/>
        <v>0.54</v>
      </c>
      <c r="M34" s="62">
        <f t="shared" si="3"/>
        <v>0.54</v>
      </c>
      <c r="N34" s="62">
        <f t="shared" si="3"/>
        <v>0.54</v>
      </c>
      <c r="O34" s="62">
        <f t="shared" si="3"/>
        <v>0.54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532986.72</v>
      </c>
      <c r="C2" s="50">
        <v>945000</v>
      </c>
      <c r="D2" s="50">
        <v>1627000</v>
      </c>
      <c r="E2" s="50">
        <v>1368000</v>
      </c>
      <c r="F2" s="50">
        <v>831000</v>
      </c>
      <c r="G2" s="17">
        <f t="shared" ref="G2:G16" si="0">C2+D2+E2+F2</f>
        <v>4771000</v>
      </c>
      <c r="H2" s="17">
        <f t="shared" ref="H2:H40" si="1">(B2 + stillbirth*B2/(1000-stillbirth))/(1-abortion)</f>
        <v>615544.06884467718</v>
      </c>
      <c r="I2" s="17">
        <f t="shared" ref="I2:I40" si="2">G2-H2</f>
        <v>4155455.9311553231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534285.82299999997</v>
      </c>
      <c r="C3" s="50">
        <v>972000</v>
      </c>
      <c r="D3" s="50">
        <v>1645000</v>
      </c>
      <c r="E3" s="50">
        <v>1391000</v>
      </c>
      <c r="F3" s="50">
        <v>884000</v>
      </c>
      <c r="G3" s="17">
        <f t="shared" si="0"/>
        <v>4892000</v>
      </c>
      <c r="H3" s="17">
        <f t="shared" si="1"/>
        <v>617044.39730777335</v>
      </c>
      <c r="I3" s="17">
        <f t="shared" si="2"/>
        <v>4274955.6026922269</v>
      </c>
    </row>
    <row r="4" spans="1:9" ht="15.75" customHeight="1" x14ac:dyDescent="0.25">
      <c r="A4" s="5">
        <f t="shared" si="3"/>
        <v>2023</v>
      </c>
      <c r="B4" s="49">
        <v>535154.598</v>
      </c>
      <c r="C4" s="50">
        <v>1001000</v>
      </c>
      <c r="D4" s="50">
        <v>1664000</v>
      </c>
      <c r="E4" s="50">
        <v>1410000</v>
      </c>
      <c r="F4" s="50">
        <v>937000</v>
      </c>
      <c r="G4" s="17">
        <f t="shared" si="0"/>
        <v>5012000</v>
      </c>
      <c r="H4" s="17">
        <f t="shared" si="1"/>
        <v>618047.74181588902</v>
      </c>
      <c r="I4" s="17">
        <f t="shared" si="2"/>
        <v>4393952.2581841107</v>
      </c>
    </row>
    <row r="5" spans="1:9" ht="15.75" customHeight="1" x14ac:dyDescent="0.25">
      <c r="A5" s="5">
        <f t="shared" si="3"/>
        <v>2024</v>
      </c>
      <c r="B5" s="49">
        <v>535650.47</v>
      </c>
      <c r="C5" s="50">
        <v>1032000</v>
      </c>
      <c r="D5" s="50">
        <v>1689000</v>
      </c>
      <c r="E5" s="50">
        <v>1427000</v>
      </c>
      <c r="F5" s="50">
        <v>988000</v>
      </c>
      <c r="G5" s="17">
        <f t="shared" si="0"/>
        <v>5136000</v>
      </c>
      <c r="H5" s="17">
        <f t="shared" si="1"/>
        <v>618620.42225435504</v>
      </c>
      <c r="I5" s="17">
        <f t="shared" si="2"/>
        <v>4517379.5777456453</v>
      </c>
    </row>
    <row r="6" spans="1:9" ht="15.75" customHeight="1" x14ac:dyDescent="0.25">
      <c r="A6" s="5">
        <f t="shared" si="3"/>
        <v>2025</v>
      </c>
      <c r="B6" s="49">
        <v>535853.98</v>
      </c>
      <c r="C6" s="50">
        <v>1065000</v>
      </c>
      <c r="D6" s="50">
        <v>1719000</v>
      </c>
      <c r="E6" s="50">
        <v>1445000</v>
      </c>
      <c r="F6" s="50">
        <v>1036000</v>
      </c>
      <c r="G6" s="17">
        <f t="shared" si="0"/>
        <v>5265000</v>
      </c>
      <c r="H6" s="17">
        <f t="shared" si="1"/>
        <v>618855.45507740648</v>
      </c>
      <c r="I6" s="17">
        <f t="shared" si="2"/>
        <v>4646144.544922594</v>
      </c>
    </row>
    <row r="7" spans="1:9" ht="15.75" customHeight="1" x14ac:dyDescent="0.25">
      <c r="A7" s="5">
        <f t="shared" si="3"/>
        <v>2026</v>
      </c>
      <c r="B7" s="49">
        <v>539414.6712000001</v>
      </c>
      <c r="C7" s="50">
        <v>1097000</v>
      </c>
      <c r="D7" s="50">
        <v>1753000</v>
      </c>
      <c r="E7" s="50">
        <v>1460000</v>
      </c>
      <c r="F7" s="50">
        <v>1082000</v>
      </c>
      <c r="G7" s="17">
        <f t="shared" si="0"/>
        <v>5392000</v>
      </c>
      <c r="H7" s="17">
        <f t="shared" si="1"/>
        <v>622967.68201834708</v>
      </c>
      <c r="I7" s="17">
        <f t="shared" si="2"/>
        <v>4769032.3179816529</v>
      </c>
    </row>
    <row r="8" spans="1:9" ht="15.75" customHeight="1" x14ac:dyDescent="0.25">
      <c r="A8" s="5">
        <f t="shared" si="3"/>
        <v>2027</v>
      </c>
      <c r="B8" s="49">
        <v>542786.05760000006</v>
      </c>
      <c r="C8" s="50">
        <v>1131000</v>
      </c>
      <c r="D8" s="50">
        <v>1793000</v>
      </c>
      <c r="E8" s="50">
        <v>1476000</v>
      </c>
      <c r="F8" s="50">
        <v>1125000</v>
      </c>
      <c r="G8" s="17">
        <f t="shared" si="0"/>
        <v>5525000</v>
      </c>
      <c r="H8" s="17">
        <f t="shared" si="1"/>
        <v>626861.28166057367</v>
      </c>
      <c r="I8" s="17">
        <f t="shared" si="2"/>
        <v>4898138.7183394264</v>
      </c>
    </row>
    <row r="9" spans="1:9" ht="15.75" customHeight="1" x14ac:dyDescent="0.25">
      <c r="A9" s="5">
        <f t="shared" si="3"/>
        <v>2028</v>
      </c>
      <c r="B9" s="49">
        <v>545964.99100000015</v>
      </c>
      <c r="C9" s="50">
        <v>1164000</v>
      </c>
      <c r="D9" s="50">
        <v>1837000</v>
      </c>
      <c r="E9" s="50">
        <v>1491000</v>
      </c>
      <c r="F9" s="50">
        <v>1165000</v>
      </c>
      <c r="G9" s="17">
        <f t="shared" si="0"/>
        <v>5657000</v>
      </c>
      <c r="H9" s="17">
        <f t="shared" si="1"/>
        <v>630532.61816145747</v>
      </c>
      <c r="I9" s="17">
        <f t="shared" si="2"/>
        <v>5026467.3818385424</v>
      </c>
    </row>
    <row r="10" spans="1:9" ht="15.75" customHeight="1" x14ac:dyDescent="0.25">
      <c r="A10" s="5">
        <f t="shared" si="3"/>
        <v>2029</v>
      </c>
      <c r="B10" s="49">
        <v>548948.32320000022</v>
      </c>
      <c r="C10" s="50">
        <v>1192000</v>
      </c>
      <c r="D10" s="50">
        <v>1888000</v>
      </c>
      <c r="E10" s="50">
        <v>1509000</v>
      </c>
      <c r="F10" s="50">
        <v>1200000</v>
      </c>
      <c r="G10" s="17">
        <f t="shared" si="0"/>
        <v>5789000</v>
      </c>
      <c r="H10" s="17">
        <f t="shared" si="1"/>
        <v>633978.05567836855</v>
      </c>
      <c r="I10" s="17">
        <f t="shared" si="2"/>
        <v>5155021.9443216315</v>
      </c>
    </row>
    <row r="11" spans="1:9" ht="15.75" customHeight="1" x14ac:dyDescent="0.25">
      <c r="A11" s="5">
        <f t="shared" si="3"/>
        <v>2030</v>
      </c>
      <c r="B11" s="49">
        <v>551758.53700000001</v>
      </c>
      <c r="C11" s="50">
        <v>1213000</v>
      </c>
      <c r="D11" s="50">
        <v>1943000</v>
      </c>
      <c r="E11" s="50">
        <v>1527000</v>
      </c>
      <c r="F11" s="50">
        <v>1233000</v>
      </c>
      <c r="G11" s="17">
        <f t="shared" si="0"/>
        <v>5916000</v>
      </c>
      <c r="H11" s="17">
        <f t="shared" si="1"/>
        <v>637223.55950025609</v>
      </c>
      <c r="I11" s="17">
        <f t="shared" si="2"/>
        <v>5278776.4404997434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4.4320097401913663E-3</v>
      </c>
    </row>
    <row r="4" spans="1:8" ht="15.75" customHeight="1" x14ac:dyDescent="0.25">
      <c r="B4" s="19" t="s">
        <v>69</v>
      </c>
      <c r="C4" s="51">
        <v>0.13872304803457741</v>
      </c>
    </row>
    <row r="5" spans="1:8" ht="15.75" customHeight="1" x14ac:dyDescent="0.25">
      <c r="B5" s="19" t="s">
        <v>70</v>
      </c>
      <c r="C5" s="51">
        <v>6.690203499494643E-2</v>
      </c>
    </row>
    <row r="6" spans="1:8" ht="15.75" customHeight="1" x14ac:dyDescent="0.25">
      <c r="B6" s="19" t="s">
        <v>71</v>
      </c>
      <c r="C6" s="51">
        <v>0.27582210643047639</v>
      </c>
    </row>
    <row r="7" spans="1:8" ht="15.75" customHeight="1" x14ac:dyDescent="0.25">
      <c r="B7" s="19" t="s">
        <v>72</v>
      </c>
      <c r="C7" s="51">
        <v>0.33245922052259269</v>
      </c>
    </row>
    <row r="8" spans="1:8" ht="15.75" customHeight="1" x14ac:dyDescent="0.25">
      <c r="B8" s="19" t="s">
        <v>73</v>
      </c>
      <c r="C8" s="51">
        <v>7.6589048996933929E-3</v>
      </c>
    </row>
    <row r="9" spans="1:8" ht="15.75" customHeight="1" x14ac:dyDescent="0.25">
      <c r="B9" s="19" t="s">
        <v>74</v>
      </c>
      <c r="C9" s="51">
        <v>0.11187272124694771</v>
      </c>
    </row>
    <row r="10" spans="1:8" ht="15.75" customHeight="1" x14ac:dyDescent="0.25">
      <c r="B10" s="19" t="s">
        <v>75</v>
      </c>
      <c r="C10" s="51">
        <v>6.2129954130574747E-2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0.1109211220603194</v>
      </c>
      <c r="D14" s="51">
        <v>0.1109211220603194</v>
      </c>
      <c r="E14" s="51">
        <v>0.1109211220603194</v>
      </c>
      <c r="F14" s="51">
        <v>0.1109211220603194</v>
      </c>
    </row>
    <row r="15" spans="1:8" ht="15.75" customHeight="1" x14ac:dyDescent="0.25">
      <c r="B15" s="19" t="s">
        <v>82</v>
      </c>
      <c r="C15" s="51">
        <v>0.17070695042004569</v>
      </c>
      <c r="D15" s="51">
        <v>0.17070695042004569</v>
      </c>
      <c r="E15" s="51">
        <v>0.17070695042004569</v>
      </c>
      <c r="F15" s="51">
        <v>0.17070695042004569</v>
      </c>
    </row>
    <row r="16" spans="1:8" ht="15.75" customHeight="1" x14ac:dyDescent="0.25">
      <c r="B16" s="19" t="s">
        <v>83</v>
      </c>
      <c r="C16" s="51">
        <v>1.9428714783453541E-2</v>
      </c>
      <c r="D16" s="51">
        <v>1.9428714783453541E-2</v>
      </c>
      <c r="E16" s="51">
        <v>1.9428714783453541E-2</v>
      </c>
      <c r="F16" s="51">
        <v>1.9428714783453541E-2</v>
      </c>
    </row>
    <row r="17" spans="1:8" ht="15.75" customHeight="1" x14ac:dyDescent="0.25">
      <c r="B17" s="19" t="s">
        <v>84</v>
      </c>
      <c r="C17" s="51">
        <v>6.4717040322643518E-4</v>
      </c>
      <c r="D17" s="51">
        <v>6.4717040322643518E-4</v>
      </c>
      <c r="E17" s="51">
        <v>6.4717040322643518E-4</v>
      </c>
      <c r="F17" s="51">
        <v>6.4717040322643518E-4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2.8606397094022738E-3</v>
      </c>
      <c r="D19" s="51">
        <v>2.8606397094022738E-3</v>
      </c>
      <c r="E19" s="51">
        <v>2.8606397094022738E-3</v>
      </c>
      <c r="F19" s="51">
        <v>2.8606397094022738E-3</v>
      </c>
    </row>
    <row r="20" spans="1:8" ht="15.75" customHeight="1" x14ac:dyDescent="0.25">
      <c r="B20" s="19" t="s">
        <v>87</v>
      </c>
      <c r="C20" s="51">
        <v>0.25545548376855648</v>
      </c>
      <c r="D20" s="51">
        <v>0.25545548376855648</v>
      </c>
      <c r="E20" s="51">
        <v>0.25545548376855648</v>
      </c>
      <c r="F20" s="51">
        <v>0.25545548376855648</v>
      </c>
    </row>
    <row r="21" spans="1:8" ht="15.75" customHeight="1" x14ac:dyDescent="0.25">
      <c r="B21" s="19" t="s">
        <v>88</v>
      </c>
      <c r="C21" s="51">
        <v>0.10187474331265201</v>
      </c>
      <c r="D21" s="51">
        <v>0.10187474331265201</v>
      </c>
      <c r="E21" s="51">
        <v>0.10187474331265201</v>
      </c>
      <c r="F21" s="51">
        <v>0.10187474331265201</v>
      </c>
    </row>
    <row r="22" spans="1:8" ht="15.75" customHeight="1" x14ac:dyDescent="0.25">
      <c r="B22" s="19" t="s">
        <v>89</v>
      </c>
      <c r="C22" s="51">
        <v>0.33810517554234421</v>
      </c>
      <c r="D22" s="51">
        <v>0.33810517554234421</v>
      </c>
      <c r="E22" s="51">
        <v>0.33810517554234421</v>
      </c>
      <c r="F22" s="51">
        <v>0.33810517554234421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3.5976796000000012E-2</v>
      </c>
    </row>
    <row r="27" spans="1:8" ht="15.75" customHeight="1" x14ac:dyDescent="0.25">
      <c r="B27" s="19" t="s">
        <v>92</v>
      </c>
      <c r="C27" s="51">
        <v>5.2873009999999986E-3</v>
      </c>
    </row>
    <row r="28" spans="1:8" ht="15.75" customHeight="1" x14ac:dyDescent="0.25">
      <c r="B28" s="19" t="s">
        <v>93</v>
      </c>
      <c r="C28" s="51">
        <v>0.15022722299999999</v>
      </c>
    </row>
    <row r="29" spans="1:8" ht="15.75" customHeight="1" x14ac:dyDescent="0.25">
      <c r="B29" s="19" t="s">
        <v>94</v>
      </c>
      <c r="C29" s="51">
        <v>0.123445323</v>
      </c>
    </row>
    <row r="30" spans="1:8" ht="15.75" customHeight="1" x14ac:dyDescent="0.25">
      <c r="B30" s="19" t="s">
        <v>95</v>
      </c>
      <c r="C30" s="51">
        <v>8.7992374999999998E-2</v>
      </c>
    </row>
    <row r="31" spans="1:8" ht="15.75" customHeight="1" x14ac:dyDescent="0.25">
      <c r="B31" s="19" t="s">
        <v>96</v>
      </c>
      <c r="C31" s="51">
        <v>8.5764472999999994E-2</v>
      </c>
    </row>
    <row r="32" spans="1:8" ht="15.75" customHeight="1" x14ac:dyDescent="0.25">
      <c r="B32" s="19" t="s">
        <v>97</v>
      </c>
      <c r="C32" s="51">
        <v>9.7807150000000006E-3</v>
      </c>
    </row>
    <row r="33" spans="2:3" ht="15.75" customHeight="1" x14ac:dyDescent="0.25">
      <c r="B33" s="19" t="s">
        <v>98</v>
      </c>
      <c r="C33" s="51">
        <v>0.11793519700000001</v>
      </c>
    </row>
    <row r="34" spans="2:3" ht="15.75" customHeight="1" x14ac:dyDescent="0.25">
      <c r="B34" s="19" t="s">
        <v>99</v>
      </c>
      <c r="C34" s="51">
        <v>0.38359059600000001</v>
      </c>
    </row>
    <row r="35" spans="2:3" ht="15.75" customHeight="1" x14ac:dyDescent="0.25">
      <c r="B35" s="27" t="s">
        <v>30</v>
      </c>
      <c r="C35" s="47">
        <f>SUM(C26:C34)</f>
        <v>0.99999999900000003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0.57790552654798277</v>
      </c>
      <c r="D2" s="52">
        <f>IFERROR(1-_xlfn.NORM.DIST(_xlfn.NORM.INV(SUM(D4:D5), 0, 1) + 1, 0, 1, TRUE), "")</f>
        <v>0.57790552654798277</v>
      </c>
      <c r="E2" s="52">
        <f>IFERROR(1-_xlfn.NORM.DIST(_xlfn.NORM.INV(SUM(E4:E5), 0, 1) + 1, 0, 1, TRUE), "")</f>
        <v>0.57759174973454686</v>
      </c>
      <c r="F2" s="52">
        <f>IFERROR(1-_xlfn.NORM.DIST(_xlfn.NORM.INV(SUM(F4:F5), 0, 1) + 1, 0, 1, TRUE), "")</f>
        <v>0.31549881750142728</v>
      </c>
      <c r="G2" s="52">
        <f>IFERROR(1-_xlfn.NORM.DIST(_xlfn.NORM.INV(SUM(G4:G5), 0, 1) + 1, 0, 1, TRUE), "")</f>
        <v>0.36954296331807512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0.30635117045201721</v>
      </c>
      <c r="D3" s="52">
        <f>IFERROR(_xlfn.NORM.DIST(_xlfn.NORM.INV(SUM(D4:D5), 0, 1) + 1, 0, 1, TRUE) - SUM(D4:D5), "")</f>
        <v>0.30635117045201721</v>
      </c>
      <c r="E3" s="52">
        <f>IFERROR(_xlfn.NORM.DIST(_xlfn.NORM.INV(SUM(E4:E5), 0, 1) + 1, 0, 1, TRUE) - SUM(E4:E5), "")</f>
        <v>0.30650852726545319</v>
      </c>
      <c r="F3" s="52">
        <f>IFERROR(_xlfn.NORM.DIST(_xlfn.NORM.INV(SUM(F4:F5), 0, 1) + 1, 0, 1, TRUE) - SUM(F4:F5), "")</f>
        <v>0.38285677249857275</v>
      </c>
      <c r="G3" s="52">
        <f>IFERROR(_xlfn.NORM.DIST(_xlfn.NORM.INV(SUM(G4:G5), 0, 1) + 1, 0, 1, TRUE) - SUM(G4:G5), "")</f>
        <v>0.37805050968192488</v>
      </c>
    </row>
    <row r="4" spans="1:15" ht="15.75" customHeight="1" x14ac:dyDescent="0.25">
      <c r="B4" s="5" t="s">
        <v>104</v>
      </c>
      <c r="C4" s="53">
        <v>8.6150818000000004E-2</v>
      </c>
      <c r="D4" s="53">
        <v>8.6150818000000004E-2</v>
      </c>
      <c r="E4" s="53">
        <v>9.2486458000000007E-2</v>
      </c>
      <c r="F4" s="53">
        <v>0.20753373999999999</v>
      </c>
      <c r="G4" s="53">
        <v>0.19701047999999999</v>
      </c>
    </row>
    <row r="5" spans="1:15" ht="15.75" customHeight="1" x14ac:dyDescent="0.25">
      <c r="B5" s="5" t="s">
        <v>105</v>
      </c>
      <c r="C5" s="53">
        <v>2.9592485000000002E-2</v>
      </c>
      <c r="D5" s="53">
        <v>2.9592485000000002E-2</v>
      </c>
      <c r="E5" s="53">
        <v>2.3413264999999999E-2</v>
      </c>
      <c r="F5" s="53">
        <v>9.4110669999999993E-2</v>
      </c>
      <c r="G5" s="53">
        <v>5.5396046999999997E-2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0.79254260948488398</v>
      </c>
      <c r="D8" s="52">
        <f>IFERROR(1-_xlfn.NORM.DIST(_xlfn.NORM.INV(SUM(D10:D11), 0, 1) + 1, 0, 1, TRUE), "")</f>
        <v>0.79254260948488398</v>
      </c>
      <c r="E8" s="52">
        <f>IFERROR(1-_xlfn.NORM.DIST(_xlfn.NORM.INV(SUM(E10:E11), 0, 1) + 1, 0, 1, TRUE), "")</f>
        <v>0.77011665234176196</v>
      </c>
      <c r="F8" s="52">
        <f>IFERROR(1-_xlfn.NORM.DIST(_xlfn.NORM.INV(SUM(F10:F11), 0, 1) + 1, 0, 1, TRUE), "")</f>
        <v>0.76022932332317861</v>
      </c>
      <c r="G8" s="52">
        <f>IFERROR(1-_xlfn.NORM.DIST(_xlfn.NORM.INV(SUM(G10:G11), 0, 1) + 1, 0, 1, TRUE), "")</f>
        <v>0.84893171473299645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0.17271657911511595</v>
      </c>
      <c r="D9" s="52">
        <f>IFERROR(_xlfn.NORM.DIST(_xlfn.NORM.INV(SUM(D10:D11), 0, 1) + 1, 0, 1, TRUE) - SUM(D10:D11), "")</f>
        <v>0.17271657911511595</v>
      </c>
      <c r="E9" s="52">
        <f>IFERROR(_xlfn.NORM.DIST(_xlfn.NORM.INV(SUM(E10:E11), 0, 1) + 1, 0, 1, TRUE) - SUM(E10:E11), "")</f>
        <v>0.18888628475823799</v>
      </c>
      <c r="F9" s="52">
        <f>IFERROR(_xlfn.NORM.DIST(_xlfn.NORM.INV(SUM(F10:F11), 0, 1) + 1, 0, 1, TRUE) - SUM(F10:F11), "")</f>
        <v>0.19586340767682139</v>
      </c>
      <c r="G9" s="52">
        <f>IFERROR(_xlfn.NORM.DIST(_xlfn.NORM.INV(SUM(G10:G11), 0, 1) + 1, 0, 1, TRUE) - SUM(G10:G11), "")</f>
        <v>0.12998449256700362</v>
      </c>
    </row>
    <row r="10" spans="1:15" ht="15.75" customHeight="1" x14ac:dyDescent="0.25">
      <c r="B10" s="5" t="s">
        <v>109</v>
      </c>
      <c r="C10" s="53">
        <v>2.6199343E-2</v>
      </c>
      <c r="D10" s="53">
        <v>2.6199343E-2</v>
      </c>
      <c r="E10" s="53">
        <v>3.6626793999999997E-2</v>
      </c>
      <c r="F10" s="53">
        <v>3.9041571999999997E-2</v>
      </c>
      <c r="G10" s="53">
        <v>1.9322617E-2</v>
      </c>
    </row>
    <row r="11" spans="1:15" ht="15.75" customHeight="1" x14ac:dyDescent="0.25">
      <c r="B11" s="5" t="s">
        <v>110</v>
      </c>
      <c r="C11" s="53">
        <v>8.5414684000000001E-3</v>
      </c>
      <c r="D11" s="53">
        <v>8.5414684000000001E-3</v>
      </c>
      <c r="E11" s="53">
        <v>4.3702688999999999E-3</v>
      </c>
      <c r="F11" s="53">
        <v>4.8656970000000004E-3</v>
      </c>
      <c r="G11" s="53">
        <v>1.7611757E-3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0.76416372425000001</v>
      </c>
      <c r="D14" s="54">
        <v>0.73473477243899987</v>
      </c>
      <c r="E14" s="54">
        <v>0.73473477243899987</v>
      </c>
      <c r="F14" s="54">
        <v>0.43763231825400001</v>
      </c>
      <c r="G14" s="54">
        <v>0.43763231825400001</v>
      </c>
      <c r="H14" s="55">
        <v>0.34</v>
      </c>
      <c r="I14" s="55">
        <v>0.34</v>
      </c>
      <c r="J14" s="55">
        <v>0.34</v>
      </c>
      <c r="K14" s="55">
        <v>0.34</v>
      </c>
      <c r="L14" s="55">
        <v>0.28399999999999997</v>
      </c>
      <c r="M14" s="55">
        <v>0.28399999999999997</v>
      </c>
      <c r="N14" s="55">
        <v>0.28399999999999997</v>
      </c>
      <c r="O14" s="55">
        <v>0.28399999999999997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0.39129538414828224</v>
      </c>
      <c r="D15" s="52">
        <f t="shared" si="0"/>
        <v>0.37622608337079694</v>
      </c>
      <c r="E15" s="52">
        <f t="shared" si="0"/>
        <v>0.37622608337079694</v>
      </c>
      <c r="F15" s="52">
        <f t="shared" si="0"/>
        <v>0.22409269198818849</v>
      </c>
      <c r="G15" s="52">
        <f t="shared" si="0"/>
        <v>0.22409269198818849</v>
      </c>
      <c r="H15" s="52">
        <f t="shared" si="0"/>
        <v>0.17409938</v>
      </c>
      <c r="I15" s="52">
        <f t="shared" si="0"/>
        <v>0.17409938</v>
      </c>
      <c r="J15" s="52">
        <f t="shared" si="0"/>
        <v>0.17409938</v>
      </c>
      <c r="K15" s="52">
        <f t="shared" si="0"/>
        <v>0.17409938</v>
      </c>
      <c r="L15" s="52">
        <f t="shared" si="0"/>
        <v>0.14542418799999998</v>
      </c>
      <c r="M15" s="52">
        <f t="shared" si="0"/>
        <v>0.14542418799999998</v>
      </c>
      <c r="N15" s="52">
        <f t="shared" si="0"/>
        <v>0.14542418799999998</v>
      </c>
      <c r="O15" s="52">
        <f t="shared" si="0"/>
        <v>0.14542418799999998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0.73495160000000004</v>
      </c>
      <c r="D2" s="53">
        <v>0.33603460000000002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0.1755929</v>
      </c>
      <c r="D3" s="53">
        <v>0.26254559999999999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8.3792329999999998E-2</v>
      </c>
      <c r="D4" s="53">
        <v>0.38363609999999998</v>
      </c>
      <c r="E4" s="53">
        <v>0.96779066324233998</v>
      </c>
      <c r="F4" s="53">
        <v>0.54731041193008401</v>
      </c>
      <c r="G4" s="53">
        <v>0</v>
      </c>
    </row>
    <row r="5" spans="1:7" x14ac:dyDescent="0.25">
      <c r="B5" s="3" t="s">
        <v>122</v>
      </c>
      <c r="C5" s="52">
        <v>5.6631920000000001E-3</v>
      </c>
      <c r="D5" s="52">
        <v>1.7783739999999999E-2</v>
      </c>
      <c r="E5" s="52">
        <f>1-SUM(E2:E4)</f>
        <v>3.2209336757660023E-2</v>
      </c>
      <c r="F5" s="52">
        <f>1-SUM(F2:F4)</f>
        <v>0.45268958806991599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2023-01-17T02:36:00Z</dcterms:modified>
</cp:coreProperties>
</file>