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C0CC3D4-EF72-4539-A4C2-7F805731108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<sst xmlns="http://schemas.openxmlformats.org/spreadsheetml/2006/main" count="2093" uniqueCount="335">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</sst>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50573.27978515625</v>
      </c>
    </row>
    <row r="8" spans="1:3" ht="15" customHeight="1" x14ac:dyDescent="0.25">
      <c r="B8" s="69" t="s">
        <v>8</v>
      </c>
      <c r="C8" s="32">
        <v>3.2000000000000001E-2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0.67868072509765598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0.51400000000000001</v>
      </c>
    </row>
    <row r="13" spans="1:3" ht="15" customHeight="1" x14ac:dyDescent="0.25">
      <c r="B13" s="69" t="s">
        <v>13</v>
      </c>
      <c r="C13" s="32">
        <v>0.52200000000000002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0.16</v>
      </c>
    </row>
    <row r="24" spans="1:3" ht="15" customHeight="1" x14ac:dyDescent="0.25">
      <c r="B24" s="7" t="s">
        <v>22</v>
      </c>
      <c r="C24" s="33">
        <v>0.51100000000000001</v>
      </c>
    </row>
    <row r="25" spans="1:3" ht="15" customHeight="1" x14ac:dyDescent="0.25">
      <c r="B25" s="7" t="s">
        <v>23</v>
      </c>
      <c r="C25" s="33">
        <v>0.26350000000000001</v>
      </c>
    </row>
    <row r="26" spans="1:3" ht="15" customHeight="1" x14ac:dyDescent="0.25">
      <c r="B26" s="7" t="s">
        <v>24</v>
      </c>
      <c r="C26" s="33">
        <v>6.5500000000000003E-2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8.9823506031500795</v>
      </c>
    </row>
    <row r="38" spans="1:5" ht="15" customHeight="1" x14ac:dyDescent="0.25">
      <c r="B38" s="65" t="s">
        <v>34</v>
      </c>
      <c r="C38" s="94">
        <v>12.789775384217601</v>
      </c>
      <c r="D38" s="5"/>
      <c r="E38" s="6"/>
    </row>
    <row r="39" spans="1:5" ht="15" customHeight="1" x14ac:dyDescent="0.25">
      <c r="B39" s="65" t="s">
        <v>35</v>
      </c>
      <c r="C39" s="94">
        <v>14.8615274555791</v>
      </c>
      <c r="D39" s="5"/>
      <c r="E39" s="5"/>
    </row>
    <row r="40" spans="1:5" ht="15" customHeight="1" x14ac:dyDescent="0.25">
      <c r="B40" s="65" t="s">
        <v>36</v>
      </c>
      <c r="C40" s="94">
        <v>0.57999999999999996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10.93543405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1.87084E-2</v>
      </c>
      <c r="D45" s="5"/>
    </row>
    <row r="46" spans="1:5" ht="15.75" customHeight="1" x14ac:dyDescent="0.25">
      <c r="B46" s="65" t="s">
        <v>41</v>
      </c>
      <c r="C46" s="33">
        <v>9.3109499999999998E-2</v>
      </c>
      <c r="D46" s="5"/>
    </row>
    <row r="47" spans="1:5" ht="15.75" customHeight="1" x14ac:dyDescent="0.25">
      <c r="B47" s="65" t="s">
        <v>42</v>
      </c>
      <c r="C47" s="33">
        <v>8.9780499999999999E-2</v>
      </c>
      <c r="D47" s="5"/>
      <c r="E47" s="6"/>
    </row>
    <row r="48" spans="1:5" ht="15" customHeight="1" x14ac:dyDescent="0.25">
      <c r="B48" s="65" t="s">
        <v>43</v>
      </c>
      <c r="C48" s="97">
        <v>0.79840159999999993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0.478043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0.56044664474999994</v>
      </c>
      <c r="C2" s="43">
        <v>0.95</v>
      </c>
      <c r="D2" s="86">
        <v>50.717962815851763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39.716252809925493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299.77526795353111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0.9696135924787419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0.1736695164</v>
      </c>
      <c r="C10" s="43">
        <v>0.95</v>
      </c>
      <c r="D10" s="86">
        <v>12.84855225372141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0.1736695164</v>
      </c>
      <c r="C11" s="43">
        <v>0.95</v>
      </c>
      <c r="D11" s="86">
        <v>12.84855225372141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0.1736695164</v>
      </c>
      <c r="C12" s="43">
        <v>0.95</v>
      </c>
      <c r="D12" s="86">
        <v>12.84855225372141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0.1736695164</v>
      </c>
      <c r="C13" s="43">
        <v>0.95</v>
      </c>
      <c r="D13" s="86">
        <v>12.84855225372141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0.1736695164</v>
      </c>
      <c r="C14" s="43">
        <v>0.95</v>
      </c>
      <c r="D14" s="86">
        <v>12.84855225372141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0.1736695164</v>
      </c>
      <c r="C15" s="43">
        <v>0.95</v>
      </c>
      <c r="D15" s="86">
        <v>12.84855225372141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0.55531805361675357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6.9453945454574351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6.9453945454574351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0.77500000000000002</v>
      </c>
      <c r="C21" s="43">
        <v>0.95</v>
      </c>
      <c r="D21" s="86">
        <v>9.4911885685343371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22.086705401333919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4.1770706684296162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0.195903725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0.1354513749</v>
      </c>
      <c r="C27" s="43">
        <v>0.95</v>
      </c>
      <c r="D27" s="86">
        <v>18.30380770317878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0.73853786759911899</v>
      </c>
      <c r="C29" s="43">
        <v>0.95</v>
      </c>
      <c r="D29" s="86">
        <v>96.960746737260479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2.3752360395467411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1.1755235646488491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2.5879090305551942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0.88529564619426293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0.19372297874347755</v>
      </c>
      <c r="C3" s="13">
        <f>frac_mam_1_5months * 2.6</f>
        <v>0.19372297874347755</v>
      </c>
      <c r="D3" s="13">
        <f>frac_mam_6_11months * 2.6</f>
        <v>0.27618170427677441</v>
      </c>
      <c r="E3" s="13">
        <f>frac_mam_12_23months * 2.6</f>
        <v>0.22045132160407122</v>
      </c>
      <c r="F3" s="13">
        <f>frac_mam_24_59months * 2.6</f>
        <v>0.12275080651566304</v>
      </c>
    </row>
    <row r="4" spans="1:6" ht="15.75" customHeight="1" x14ac:dyDescent="0.25">
      <c r="A4" s="78" t="s">
        <v>204</v>
      </c>
      <c r="B4" s="13">
        <f>frac_sam_1month * 2.6</f>
        <v>0.12945086201981754</v>
      </c>
      <c r="C4" s="13">
        <f>frac_sam_1_5months * 2.6</f>
        <v>0.12945086201981754</v>
      </c>
      <c r="D4" s="13">
        <f>frac_sam_6_11months * 2.6</f>
        <v>0.14373957704470494</v>
      </c>
      <c r="E4" s="13">
        <f>frac_sam_12_23months * 2.6</f>
        <v>0.11181692882896849</v>
      </c>
      <c r="F4" s="13">
        <f>frac_sam_24_59months * 2.6</f>
        <v>5.4633652019969628E-2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3.2000000000000001E-2</v>
      </c>
      <c r="E2" s="47">
        <f>food_insecure</f>
        <v>3.2000000000000001E-2</v>
      </c>
      <c r="F2" s="47">
        <f>food_insecure</f>
        <v>3.2000000000000001E-2</v>
      </c>
      <c r="G2" s="47">
        <f>food_insecure</f>
        <v>3.2000000000000001E-2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3.2000000000000001E-2</v>
      </c>
      <c r="F5" s="47">
        <f>food_insecure</f>
        <v>3.2000000000000001E-2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3.2000000000000001E-2</v>
      </c>
      <c r="F8" s="47">
        <f>food_insecure</f>
        <v>3.2000000000000001E-2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3.2000000000000001E-2</v>
      </c>
      <c r="F9" s="47">
        <f>food_insecure</f>
        <v>3.2000000000000001E-2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0.51400000000000001</v>
      </c>
      <c r="E10" s="47">
        <f>IF(ISBLANK(comm_deliv), frac_children_health_facility,1)</f>
        <v>0.51400000000000001</v>
      </c>
      <c r="F10" s="47">
        <f>IF(ISBLANK(comm_deliv), frac_children_health_facility,1)</f>
        <v>0.51400000000000001</v>
      </c>
      <c r="G10" s="47">
        <f>IF(ISBLANK(comm_deliv), frac_children_health_facility,1)</f>
        <v>0.51400000000000001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3.2000000000000001E-2</v>
      </c>
      <c r="I15" s="47">
        <f>food_insecure</f>
        <v>3.2000000000000001E-2</v>
      </c>
      <c r="J15" s="47">
        <f>food_insecure</f>
        <v>3.2000000000000001E-2</v>
      </c>
      <c r="K15" s="47">
        <f>food_insecure</f>
        <v>3.2000000000000001E-2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0.52200000000000002</v>
      </c>
      <c r="M24" s="47">
        <f>famplan_unmet_need</f>
        <v>0.52200000000000002</v>
      </c>
      <c r="N24" s="47">
        <f>famplan_unmet_need</f>
        <v>0.52200000000000002</v>
      </c>
      <c r="O24" s="47">
        <f>famplan_unmet_need</f>
        <v>0.52200000000000002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0.1596057102294923</v>
      </c>
      <c r="M25" s="47">
        <f>(1-food_insecure)*(0.49)+food_insecure*(0.7)</f>
        <v>0.49671999999999994</v>
      </c>
      <c r="N25" s="47">
        <f>(1-food_insecure)*(0.49)+food_insecure*(0.7)</f>
        <v>0.49671999999999994</v>
      </c>
      <c r="O25" s="47">
        <f>(1-food_insecure)*(0.49)+food_insecure*(0.7)</f>
        <v>0.49671999999999994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6.8402447241210987E-2</v>
      </c>
      <c r="M26" s="47">
        <f>(1-food_insecure)*(0.21)+food_insecure*(0.3)</f>
        <v>0.21287999999999999</v>
      </c>
      <c r="N26" s="47">
        <f>(1-food_insecure)*(0.21)+food_insecure*(0.3)</f>
        <v>0.21287999999999999</v>
      </c>
      <c r="O26" s="47">
        <f>(1-food_insecure)*(0.21)+food_insecure*(0.3)</f>
        <v>0.21287999999999999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9.3311117431640694E-2</v>
      </c>
      <c r="M27" s="47">
        <f>(1-food_insecure)*(0.3)</f>
        <v>0.29039999999999999</v>
      </c>
      <c r="N27" s="47">
        <f>(1-food_insecure)*(0.3)</f>
        <v>0.29039999999999999</v>
      </c>
      <c r="O27" s="47">
        <f>(1-food_insecure)*(0.3)</f>
        <v>0.29039999999999999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0.67868072509765598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11186.686</v>
      </c>
      <c r="C2" s="37">
        <v>27000</v>
      </c>
      <c r="D2" s="37">
        <v>56000</v>
      </c>
      <c r="E2" s="37">
        <v>45000</v>
      </c>
      <c r="F2" s="37">
        <v>29000</v>
      </c>
      <c r="G2" s="9">
        <f t="shared" ref="G2:G40" si="0">C2+D2+E2+F2</f>
        <v>157000</v>
      </c>
      <c r="H2" s="9">
        <f t="shared" ref="H2:H40" si="1">(B2 + stillbirth*B2/(1000-stillbirth))/(1-abortion)</f>
        <v>12852.692958025571</v>
      </c>
      <c r="I2" s="9">
        <f t="shared" ref="I2:I40" si="2">G2-H2</f>
        <v>144147.30704197442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11121.502</v>
      </c>
      <c r="C3" s="37">
        <v>27000</v>
      </c>
      <c r="D3" s="37">
        <v>56000</v>
      </c>
      <c r="E3" s="37">
        <v>47000</v>
      </c>
      <c r="F3" s="37">
        <v>29000</v>
      </c>
      <c r="G3" s="9">
        <f t="shared" si="0"/>
        <v>159000</v>
      </c>
      <c r="H3" s="9">
        <f t="shared" si="1"/>
        <v>12777.801257500863</v>
      </c>
      <c r="I3" s="9">
        <f t="shared" si="2"/>
        <v>146222.19874249914</v>
      </c>
    </row>
    <row r="4" spans="1:9" ht="15.75" customHeight="1" x14ac:dyDescent="0.25">
      <c r="A4" s="69">
        <f t="shared" si="3"/>
        <v>2023</v>
      </c>
      <c r="B4" s="36">
        <v>11051.46</v>
      </c>
      <c r="C4" s="37">
        <v>27000</v>
      </c>
      <c r="D4" s="37">
        <v>55000</v>
      </c>
      <c r="E4" s="37">
        <v>48000</v>
      </c>
      <c r="F4" s="37">
        <v>30000</v>
      </c>
      <c r="G4" s="9">
        <f t="shared" si="0"/>
        <v>160000</v>
      </c>
      <c r="H4" s="9">
        <f t="shared" si="1"/>
        <v>12697.328066408698</v>
      </c>
      <c r="I4" s="9">
        <f t="shared" si="2"/>
        <v>147302.67193359131</v>
      </c>
    </row>
    <row r="5" spans="1:9" ht="15.75" customHeight="1" x14ac:dyDescent="0.25">
      <c r="A5" s="69">
        <f t="shared" si="3"/>
        <v>2024</v>
      </c>
      <c r="B5" s="36">
        <v>10976.56</v>
      </c>
      <c r="C5" s="37">
        <v>27000</v>
      </c>
      <c r="D5" s="37">
        <v>55000</v>
      </c>
      <c r="E5" s="37">
        <v>50000</v>
      </c>
      <c r="F5" s="37">
        <v>32000</v>
      </c>
      <c r="G5" s="9">
        <f t="shared" si="0"/>
        <v>164000</v>
      </c>
      <c r="H5" s="9">
        <f t="shared" si="1"/>
        <v>12611.273384749078</v>
      </c>
      <c r="I5" s="9">
        <f t="shared" si="2"/>
        <v>151388.72661525093</v>
      </c>
    </row>
    <row r="6" spans="1:9" ht="15.75" customHeight="1" x14ac:dyDescent="0.25">
      <c r="A6" s="69">
        <f t="shared" si="3"/>
        <v>2025</v>
      </c>
      <c r="B6" s="36">
        <v>10896.802</v>
      </c>
      <c r="C6" s="37">
        <v>27000</v>
      </c>
      <c r="D6" s="37">
        <v>54000</v>
      </c>
      <c r="E6" s="37">
        <v>51000</v>
      </c>
      <c r="F6" s="37">
        <v>34000</v>
      </c>
      <c r="G6" s="9">
        <f t="shared" si="0"/>
        <v>166000</v>
      </c>
      <c r="H6" s="9">
        <f t="shared" si="1"/>
        <v>12519.637212522004</v>
      </c>
      <c r="I6" s="9">
        <f t="shared" si="2"/>
        <v>153480.36278747799</v>
      </c>
    </row>
    <row r="7" spans="1:9" ht="15.75" customHeight="1" x14ac:dyDescent="0.25">
      <c r="A7" s="69">
        <f t="shared" si="3"/>
        <v>2026</v>
      </c>
      <c r="B7" s="36">
        <v>10812.3078</v>
      </c>
      <c r="C7" s="37">
        <v>27000</v>
      </c>
      <c r="D7" s="37">
        <v>54000</v>
      </c>
      <c r="E7" s="37">
        <v>52000</v>
      </c>
      <c r="F7" s="37">
        <v>35000</v>
      </c>
      <c r="G7" s="9">
        <f t="shared" si="0"/>
        <v>168000</v>
      </c>
      <c r="H7" s="9">
        <f t="shared" si="1"/>
        <v>12422.559489116342</v>
      </c>
      <c r="I7" s="9">
        <f t="shared" si="2"/>
        <v>155577.44051088367</v>
      </c>
    </row>
    <row r="8" spans="1:9" ht="15.75" customHeight="1" x14ac:dyDescent="0.25">
      <c r="A8" s="69">
        <f t="shared" si="3"/>
        <v>2027</v>
      </c>
      <c r="B8" s="36">
        <v>10705.550999999999</v>
      </c>
      <c r="C8" s="37">
        <v>27000</v>
      </c>
      <c r="D8" s="37">
        <v>54000</v>
      </c>
      <c r="E8" s="37">
        <v>52000</v>
      </c>
      <c r="F8" s="37">
        <v>37000</v>
      </c>
      <c r="G8" s="9">
        <f t="shared" si="0"/>
        <v>170000</v>
      </c>
      <c r="H8" s="9">
        <f t="shared" si="1"/>
        <v>12299.903648809272</v>
      </c>
      <c r="I8" s="9">
        <f t="shared" si="2"/>
        <v>157700.09635119073</v>
      </c>
    </row>
    <row r="9" spans="1:9" ht="15.75" customHeight="1" x14ac:dyDescent="0.25">
      <c r="A9" s="69">
        <f t="shared" si="3"/>
        <v>2028</v>
      </c>
      <c r="B9" s="36">
        <v>10611.6932</v>
      </c>
      <c r="C9" s="37">
        <v>27000</v>
      </c>
      <c r="D9" s="37">
        <v>54000</v>
      </c>
      <c r="E9" s="37">
        <v>53000</v>
      </c>
      <c r="F9" s="37">
        <v>39000</v>
      </c>
      <c r="G9" s="9">
        <f t="shared" si="0"/>
        <v>173000</v>
      </c>
      <c r="H9" s="9">
        <f t="shared" si="1"/>
        <v>12192.067826375731</v>
      </c>
      <c r="I9" s="9">
        <f t="shared" si="2"/>
        <v>160807.93217362426</v>
      </c>
    </row>
    <row r="10" spans="1:9" ht="15.75" customHeight="1" x14ac:dyDescent="0.25">
      <c r="A10" s="69">
        <f t="shared" si="3"/>
        <v>2029</v>
      </c>
      <c r="B10" s="36">
        <v>10512.9802</v>
      </c>
      <c r="C10" s="37">
        <v>27000</v>
      </c>
      <c r="D10" s="37">
        <v>54000</v>
      </c>
      <c r="E10" s="37">
        <v>53000</v>
      </c>
      <c r="F10" s="37">
        <v>41000</v>
      </c>
      <c r="G10" s="9">
        <f t="shared" si="0"/>
        <v>175000</v>
      </c>
      <c r="H10" s="9">
        <f t="shared" si="1"/>
        <v>12078.65373037218</v>
      </c>
      <c r="I10" s="9">
        <f t="shared" si="2"/>
        <v>162921.34626962783</v>
      </c>
    </row>
    <row r="11" spans="1:9" ht="15.75" customHeight="1" x14ac:dyDescent="0.25">
      <c r="A11" s="69">
        <f t="shared" si="3"/>
        <v>2030</v>
      </c>
      <c r="B11" s="36">
        <v>10393.045</v>
      </c>
      <c r="C11" s="37">
        <v>27000</v>
      </c>
      <c r="D11" s="37">
        <v>53000</v>
      </c>
      <c r="E11" s="37">
        <v>54000</v>
      </c>
      <c r="F11" s="37">
        <v>43000</v>
      </c>
      <c r="G11" s="9">
        <f t="shared" si="0"/>
        <v>177000</v>
      </c>
      <c r="H11" s="9">
        <f t="shared" si="1"/>
        <v>11940.856861803653</v>
      </c>
      <c r="I11" s="9">
        <f t="shared" si="2"/>
        <v>165059.14313819635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2964233.3602378732</v>
      </c>
      <c r="I12" s="9">
        <f t="shared" si="2"/>
        <v>15619435.639762126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3021679.7431882196</v>
      </c>
      <c r="I13" s="9">
        <f t="shared" si="2"/>
        <v>16152900.256811781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3090615.4027286349</v>
      </c>
      <c r="I14" s="9">
        <f t="shared" si="2"/>
        <v>16685640.597271364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3148061.7856789813</v>
      </c>
      <c r="I15" s="9">
        <f t="shared" si="2"/>
        <v>17238666.214321017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9.9967548877928303E-2</v>
      </c>
    </row>
    <row r="5" spans="1:8" ht="15.75" customHeight="1" x14ac:dyDescent="0.25">
      <c r="B5" s="11" t="s">
        <v>70</v>
      </c>
      <c r="C5" s="38">
        <v>4.5855736954698113E-2</v>
      </c>
    </row>
    <row r="6" spans="1:8" ht="15.75" customHeight="1" x14ac:dyDescent="0.25">
      <c r="B6" s="11" t="s">
        <v>71</v>
      </c>
      <c r="C6" s="38">
        <v>0.15053620475370899</v>
      </c>
    </row>
    <row r="7" spans="1:8" ht="15.75" customHeight="1" x14ac:dyDescent="0.25">
      <c r="B7" s="11" t="s">
        <v>72</v>
      </c>
      <c r="C7" s="38">
        <v>0.37845561308485021</v>
      </c>
    </row>
    <row r="8" spans="1:8" ht="15.75" customHeight="1" x14ac:dyDescent="0.25">
      <c r="B8" s="11" t="s">
        <v>73</v>
      </c>
      <c r="C8" s="38">
        <v>6.6264308785834412E-3</v>
      </c>
    </row>
    <row r="9" spans="1:8" ht="15.75" customHeight="1" x14ac:dyDescent="0.25">
      <c r="B9" s="11" t="s">
        <v>74</v>
      </c>
      <c r="C9" s="38">
        <v>0.21690164009790761</v>
      </c>
    </row>
    <row r="10" spans="1:8" ht="15.75" customHeight="1" x14ac:dyDescent="0.25">
      <c r="B10" s="11" t="s">
        <v>75</v>
      </c>
      <c r="C10" s="38">
        <v>0.1016568253523232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8.8455425688648295E-2</v>
      </c>
      <c r="D14" s="38">
        <v>8.8455425688648295E-2</v>
      </c>
      <c r="E14" s="38">
        <v>8.8455425688648295E-2</v>
      </c>
      <c r="F14" s="38">
        <v>8.8455425688648295E-2</v>
      </c>
    </row>
    <row r="15" spans="1:8" ht="15.75" customHeight="1" x14ac:dyDescent="0.25">
      <c r="B15" s="11" t="s">
        <v>82</v>
      </c>
      <c r="C15" s="38">
        <v>0.21683388449278179</v>
      </c>
      <c r="D15" s="38">
        <v>0.21683388449278179</v>
      </c>
      <c r="E15" s="38">
        <v>0.21683388449278179</v>
      </c>
      <c r="F15" s="38">
        <v>0.21683388449278179</v>
      </c>
    </row>
    <row r="16" spans="1:8" ht="15.75" customHeight="1" x14ac:dyDescent="0.25">
      <c r="B16" s="11" t="s">
        <v>83</v>
      </c>
      <c r="C16" s="38">
        <v>2.2895643031463318E-2</v>
      </c>
      <c r="D16" s="38">
        <v>2.2895643031463318E-2</v>
      </c>
      <c r="E16" s="38">
        <v>2.2895643031463318E-2</v>
      </c>
      <c r="F16" s="38">
        <v>2.2895643031463318E-2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0.1027014168770197</v>
      </c>
      <c r="D19" s="38">
        <v>0.1027014168770197</v>
      </c>
      <c r="E19" s="38">
        <v>0.1027014168770197</v>
      </c>
      <c r="F19" s="38">
        <v>0.1027014168770197</v>
      </c>
    </row>
    <row r="20" spans="1:8" ht="15.75" customHeight="1" x14ac:dyDescent="0.25">
      <c r="B20" s="11" t="s">
        <v>87</v>
      </c>
      <c r="C20" s="38">
        <v>2.9908649689179889E-2</v>
      </c>
      <c r="D20" s="38">
        <v>2.9908649689179889E-2</v>
      </c>
      <c r="E20" s="38">
        <v>2.9908649689179889E-2</v>
      </c>
      <c r="F20" s="38">
        <v>2.9908649689179889E-2</v>
      </c>
    </row>
    <row r="21" spans="1:8" ht="15.75" customHeight="1" x14ac:dyDescent="0.25">
      <c r="B21" s="11" t="s">
        <v>88</v>
      </c>
      <c r="C21" s="38">
        <v>0.10762007715916989</v>
      </c>
      <c r="D21" s="38">
        <v>0.10762007715916989</v>
      </c>
      <c r="E21" s="38">
        <v>0.10762007715916989</v>
      </c>
      <c r="F21" s="38">
        <v>0.10762007715916989</v>
      </c>
    </row>
    <row r="22" spans="1:8" ht="15.75" customHeight="1" x14ac:dyDescent="0.25">
      <c r="B22" s="11" t="s">
        <v>89</v>
      </c>
      <c r="C22" s="38">
        <v>0.43158490306173702</v>
      </c>
      <c r="D22" s="38">
        <v>0.43158490306173702</v>
      </c>
      <c r="E22" s="38">
        <v>0.43158490306173702</v>
      </c>
      <c r="F22" s="38">
        <v>0.43158490306173702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8.8581064000000001E-2</v>
      </c>
    </row>
    <row r="27" spans="1:8" ht="15.75" customHeight="1" x14ac:dyDescent="0.25">
      <c r="B27" s="11" t="s">
        <v>92</v>
      </c>
      <c r="C27" s="38">
        <v>8.3095249999999999E-3</v>
      </c>
    </row>
    <row r="28" spans="1:8" ht="15.75" customHeight="1" x14ac:dyDescent="0.25">
      <c r="B28" s="11" t="s">
        <v>93</v>
      </c>
      <c r="C28" s="38">
        <v>0.157741201</v>
      </c>
    </row>
    <row r="29" spans="1:8" ht="15.75" customHeight="1" x14ac:dyDescent="0.25">
      <c r="B29" s="11" t="s">
        <v>94</v>
      </c>
      <c r="C29" s="38">
        <v>0.16874623</v>
      </c>
    </row>
    <row r="30" spans="1:8" ht="15.75" customHeight="1" x14ac:dyDescent="0.25">
      <c r="B30" s="11" t="s">
        <v>95</v>
      </c>
      <c r="C30" s="38">
        <v>0.10641809300000001</v>
      </c>
    </row>
    <row r="31" spans="1:8" ht="15.75" customHeight="1" x14ac:dyDescent="0.25">
      <c r="B31" s="11" t="s">
        <v>96</v>
      </c>
      <c r="C31" s="38">
        <v>0.109242019</v>
      </c>
    </row>
    <row r="32" spans="1:8" ht="15.75" customHeight="1" x14ac:dyDescent="0.25">
      <c r="B32" s="11" t="s">
        <v>97</v>
      </c>
      <c r="C32" s="38">
        <v>1.8835845E-2</v>
      </c>
    </row>
    <row r="33" spans="2:3" ht="15.75" customHeight="1" x14ac:dyDescent="0.25">
      <c r="B33" s="11" t="s">
        <v>98</v>
      </c>
      <c r="C33" s="38">
        <v>8.4593191999999998E-2</v>
      </c>
    </row>
    <row r="34" spans="2:3" ht="15.75" customHeight="1" x14ac:dyDescent="0.25">
      <c r="B34" s="11" t="s">
        <v>99</v>
      </c>
      <c r="C34" s="38">
        <v>0.25753283100000002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0.51176168394192467</v>
      </c>
      <c r="D2" s="99">
        <f>IFERROR(1-_xlfn.NORM.DIST(_xlfn.NORM.INV(SUM(D4:D5), 0, 1) + 1, 0, 1, TRUE), "")</f>
        <v>0.51176168394192467</v>
      </c>
      <c r="E2" s="99">
        <f>IFERROR(1-_xlfn.NORM.DIST(_xlfn.NORM.INV(SUM(E4:E5), 0, 1) + 1, 0, 1, TRUE), "")</f>
        <v>0.45681791986706566</v>
      </c>
      <c r="F2" s="99">
        <f>IFERROR(1-_xlfn.NORM.DIST(_xlfn.NORM.INV(SUM(F4:F5), 0, 1) + 1, 0, 1, TRUE), "")</f>
        <v>0.26981463829626573</v>
      </c>
      <c r="G2" s="99">
        <f>IFERROR(1-_xlfn.NORM.DIST(_xlfn.NORM.INV(SUM(G4:G5), 0, 1) + 1, 0, 1, TRUE), "")</f>
        <v>0.24211129681004595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0.33661274221110715</v>
      </c>
      <c r="D3" s="99">
        <f>IFERROR(_xlfn.NORM.DIST(_xlfn.NORM.INV(SUM(D4:D5), 0, 1) + 1, 0, 1, TRUE) - SUM(D4:D5), "")</f>
        <v>0.33661274221110715</v>
      </c>
      <c r="E3" s="99">
        <f>IFERROR(_xlfn.NORM.DIST(_xlfn.NORM.INV(SUM(E4:E5), 0, 1) + 1, 0, 1, TRUE) - SUM(E4:E5), "")</f>
        <v>0.35686400945506846</v>
      </c>
      <c r="F3" s="99">
        <f>IFERROR(_xlfn.NORM.DIST(_xlfn.NORM.INV(SUM(F4:F5), 0, 1) + 1, 0, 1, TRUE) - SUM(F4:F5), "")</f>
        <v>0.38066892199807328</v>
      </c>
      <c r="G3" s="99">
        <f>IFERROR(_xlfn.NORM.DIST(_xlfn.NORM.INV(SUM(G4:G5), 0, 1) + 1, 0, 1, TRUE) - SUM(G4:G5), "")</f>
        <v>0.37598041626208606</v>
      </c>
    </row>
    <row r="4" spans="1:15" ht="15.75" customHeight="1" x14ac:dyDescent="0.25">
      <c r="B4" s="69" t="s">
        <v>104</v>
      </c>
      <c r="C4" s="39">
        <v>8.58190532050008E-2</v>
      </c>
      <c r="D4" s="39">
        <v>8.58190532050008E-2</v>
      </c>
      <c r="E4" s="39">
        <v>0.10849992686993</v>
      </c>
      <c r="F4" s="39">
        <v>0.196529120835613</v>
      </c>
      <c r="G4" s="39">
        <v>0.203917682529314</v>
      </c>
    </row>
    <row r="5" spans="1:15" ht="15.75" customHeight="1" x14ac:dyDescent="0.25">
      <c r="B5" s="69" t="s">
        <v>105</v>
      </c>
      <c r="C5" s="39">
        <v>6.5806520641967403E-2</v>
      </c>
      <c r="D5" s="39">
        <v>6.5806520641967403E-2</v>
      </c>
      <c r="E5" s="39">
        <v>7.7818143807935905E-2</v>
      </c>
      <c r="F5" s="39">
        <v>0.15298731887004799</v>
      </c>
      <c r="G5" s="39">
        <v>0.17799060439855399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0.5611037003185233</v>
      </c>
      <c r="D8" s="99">
        <f>IFERROR(1-_xlfn.NORM.DIST(_xlfn.NORM.INV(SUM(D10:D11), 0, 1) + 1, 0, 1, TRUE), "")</f>
        <v>0.5611037003185233</v>
      </c>
      <c r="E8" s="99">
        <f>IFERROR(1-_xlfn.NORM.DIST(_xlfn.NORM.INV(SUM(E10:E11), 0, 1) + 1, 0, 1, TRUE), "")</f>
        <v>0.49532382510254602</v>
      </c>
      <c r="F8" s="99">
        <f>IFERROR(1-_xlfn.NORM.DIST(_xlfn.NORM.INV(SUM(F10:F11), 0, 1) + 1, 0, 1, TRUE), "")</f>
        <v>0.55443480549473745</v>
      </c>
      <c r="G8" s="99">
        <f>IFERROR(1-_xlfn.NORM.DIST(_xlfn.NORM.INV(SUM(G10:G11), 0, 1) + 1, 0, 1, TRUE), "")</f>
        <v>0.68762994887632833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0.31459866861867092</v>
      </c>
      <c r="D9" s="99">
        <f>IFERROR(_xlfn.NORM.DIST(_xlfn.NORM.INV(SUM(D10:D11), 0, 1) + 1, 0, 1, TRUE) - SUM(D10:D11), "")</f>
        <v>0.31459866861867092</v>
      </c>
      <c r="E9" s="99">
        <f>IFERROR(_xlfn.NORM.DIST(_xlfn.NORM.INV(SUM(E10:E11), 0, 1) + 1, 0, 1, TRUE) - SUM(E10:E11), "")</f>
        <v>0.34316798977380808</v>
      </c>
      <c r="F9" s="99">
        <f>IFERROR(_xlfn.NORM.DIST(_xlfn.NORM.INV(SUM(F10:F11), 0, 1) + 1, 0, 1, TRUE) - SUM(F10:F11), "")</f>
        <v>0.31776971356947803</v>
      </c>
      <c r="G9" s="99">
        <f>IFERROR(_xlfn.NORM.DIST(_xlfn.NORM.INV(SUM(G10:G11), 0, 1) + 1, 0, 1, TRUE) - SUM(G10:G11), "")</f>
        <v>0.24414525937919757</v>
      </c>
    </row>
    <row r="10" spans="1:15" ht="15.75" customHeight="1" x14ac:dyDescent="0.25">
      <c r="B10" s="69" t="s">
        <v>109</v>
      </c>
      <c r="C10" s="39">
        <v>7.4508837978260592E-2</v>
      </c>
      <c r="D10" s="39">
        <v>7.4508837978260592E-2</v>
      </c>
      <c r="E10" s="39">
        <v>0.106223732414144</v>
      </c>
      <c r="F10" s="39">
        <v>8.4788969847719692E-2</v>
      </c>
      <c r="G10" s="39">
        <v>4.7211848659870402E-2</v>
      </c>
    </row>
    <row r="11" spans="1:15" ht="15.75" customHeight="1" x14ac:dyDescent="0.25">
      <c r="B11" s="69" t="s">
        <v>110</v>
      </c>
      <c r="C11" s="39">
        <v>4.9788793084545202E-2</v>
      </c>
      <c r="D11" s="39">
        <v>4.9788793084545202E-2</v>
      </c>
      <c r="E11" s="39">
        <v>5.5284452709501899E-2</v>
      </c>
      <c r="F11" s="39">
        <v>4.3006511088064803E-2</v>
      </c>
      <c r="G11" s="39">
        <v>2.1012943084603702E-2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0.46033876800000001</v>
      </c>
      <c r="D14" s="40">
        <v>0.44014876555400001</v>
      </c>
      <c r="E14" s="40">
        <v>0.44014876555400001</v>
      </c>
      <c r="F14" s="40">
        <v>0.382676710483</v>
      </c>
      <c r="G14" s="40">
        <v>0.382676710483</v>
      </c>
      <c r="H14" s="41">
        <v>0.42899999999999999</v>
      </c>
      <c r="I14" s="41">
        <v>0.42899999999999999</v>
      </c>
      <c r="J14" s="41">
        <v>0.42899999999999999</v>
      </c>
      <c r="K14" s="41">
        <v>0.42899999999999999</v>
      </c>
      <c r="L14" s="41">
        <v>0.32800000000000001</v>
      </c>
      <c r="M14" s="41">
        <v>0.32800000000000001</v>
      </c>
      <c r="N14" s="41">
        <v>0.32800000000000001</v>
      </c>
      <c r="O14" s="41">
        <v>0.32800000000000001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0.220061725671024</v>
      </c>
      <c r="D15" s="99">
        <f t="shared" si="0"/>
        <v>0.21041003633173083</v>
      </c>
      <c r="E15" s="99">
        <f t="shared" si="0"/>
        <v>0.21041003633173083</v>
      </c>
      <c r="F15" s="99">
        <f t="shared" si="0"/>
        <v>0.18293592270942477</v>
      </c>
      <c r="G15" s="99">
        <f t="shared" si="0"/>
        <v>0.18293592270942477</v>
      </c>
      <c r="H15" s="99">
        <f t="shared" si="0"/>
        <v>0.205080447</v>
      </c>
      <c r="I15" s="99">
        <f t="shared" si="0"/>
        <v>0.205080447</v>
      </c>
      <c r="J15" s="99">
        <f t="shared" si="0"/>
        <v>0.205080447</v>
      </c>
      <c r="K15" s="99">
        <f t="shared" si="0"/>
        <v>0.205080447</v>
      </c>
      <c r="L15" s="99">
        <f t="shared" si="0"/>
        <v>0.15679810399999999</v>
      </c>
      <c r="M15" s="99">
        <f t="shared" si="0"/>
        <v>0.15679810399999999</v>
      </c>
      <c r="N15" s="99">
        <f t="shared" si="0"/>
        <v>0.15679810399999999</v>
      </c>
      <c r="O15" s="99">
        <f t="shared" si="0"/>
        <v>0.15679810399999999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9.2236928641796098E-2</v>
      </c>
      <c r="D2" s="39">
        <v>6.3108289999999997E-2</v>
      </c>
      <c r="E2" s="39"/>
      <c r="F2" s="39"/>
      <c r="G2" s="39"/>
    </row>
    <row r="3" spans="1:7" x14ac:dyDescent="0.25">
      <c r="B3" s="78" t="s">
        <v>120</v>
      </c>
      <c r="C3" s="39">
        <v>0.113897509872913</v>
      </c>
      <c r="D3" s="39">
        <v>0.11909740000000001</v>
      </c>
      <c r="E3" s="39"/>
      <c r="F3" s="39"/>
      <c r="G3" s="39"/>
    </row>
    <row r="4" spans="1:7" x14ac:dyDescent="0.25">
      <c r="B4" s="78" t="s">
        <v>121</v>
      </c>
      <c r="C4" s="39">
        <v>0.14785376191139199</v>
      </c>
      <c r="D4" s="39">
        <v>0.43906440000000002</v>
      </c>
      <c r="E4" s="39">
        <v>0.83675640821456898</v>
      </c>
      <c r="F4" s="39">
        <v>0.38914692401885997</v>
      </c>
      <c r="G4" s="39"/>
    </row>
    <row r="5" spans="1:7" x14ac:dyDescent="0.25">
      <c r="B5" s="78" t="s">
        <v>122</v>
      </c>
      <c r="C5" s="100">
        <v>0.64601176977157604</v>
      </c>
      <c r="D5" s="100">
        <v>0.37872987985611001</v>
      </c>
      <c r="E5" s="100">
        <f>1-E2-E3-E4</f>
        <v>0.16324359178543102</v>
      </c>
      <c r="F5" s="100">
        <f>1-F2-F3-F4</f>
        <v>0.61085307598114003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2023-01-25T00:08:19Z</dcterms:modified>
</cp:coreProperties>
</file>