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5D4EEDC7-17D5-4B6D-A372-26E7E47663EE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I39" i="2" s="1"/>
  <c r="G39" i="2"/>
  <c r="H38" i="2"/>
  <c r="I38" i="2" s="1"/>
  <c r="G38" i="2"/>
  <c r="H37" i="2"/>
  <c r="I37" i="2" s="1"/>
  <c r="G37" i="2"/>
  <c r="H36" i="2"/>
  <c r="I36" i="2" s="1"/>
  <c r="G36" i="2"/>
  <c r="H35" i="2"/>
  <c r="I35" i="2" s="1"/>
  <c r="G35" i="2"/>
  <c r="H34" i="2"/>
  <c r="I34" i="2" s="1"/>
  <c r="G34" i="2"/>
  <c r="H33" i="2"/>
  <c r="I33" i="2" s="1"/>
  <c r="G33" i="2"/>
  <c r="H32" i="2"/>
  <c r="I32" i="2" s="1"/>
  <c r="G32" i="2"/>
  <c r="H31" i="2"/>
  <c r="I31" i="2" s="1"/>
  <c r="G31" i="2"/>
  <c r="H30" i="2"/>
  <c r="I30" i="2" s="1"/>
  <c r="G30" i="2"/>
  <c r="H29" i="2"/>
  <c r="I29" i="2" s="1"/>
  <c r="G29" i="2"/>
  <c r="H28" i="2"/>
  <c r="I28" i="2" s="1"/>
  <c r="G28" i="2"/>
  <c r="H27" i="2"/>
  <c r="I27" i="2" s="1"/>
  <c r="G27" i="2"/>
  <c r="H26" i="2"/>
  <c r="I26" i="2" s="1"/>
  <c r="G26" i="2"/>
  <c r="H25" i="2"/>
  <c r="I25" i="2" s="1"/>
  <c r="G25" i="2"/>
  <c r="H24" i="2"/>
  <c r="I24" i="2" s="1"/>
  <c r="G24" i="2"/>
  <c r="H23" i="2"/>
  <c r="I23" i="2" s="1"/>
  <c r="G23" i="2"/>
  <c r="H22" i="2"/>
  <c r="I22" i="2" s="1"/>
  <c r="G22" i="2"/>
  <c r="H21" i="2"/>
  <c r="I21" i="2" s="1"/>
  <c r="G21" i="2"/>
  <c r="H20" i="2"/>
  <c r="I20" i="2" s="1"/>
  <c r="G20" i="2"/>
  <c r="H19" i="2"/>
  <c r="I19" i="2" s="1"/>
  <c r="G19" i="2"/>
  <c r="H18" i="2"/>
  <c r="I18" i="2" s="1"/>
  <c r="G18" i="2"/>
  <c r="H17" i="2"/>
  <c r="I17" i="2" s="1"/>
  <c r="G17" i="2"/>
  <c r="H16" i="2"/>
  <c r="I16" i="2" s="1"/>
  <c r="G16" i="2"/>
  <c r="H15" i="2"/>
  <c r="I15" i="2" s="1"/>
  <c r="G15" i="2"/>
  <c r="H14" i="2"/>
  <c r="I14" i="2" s="1"/>
  <c r="G14" i="2"/>
  <c r="H13" i="2"/>
  <c r="I13" i="2" s="1"/>
  <c r="G13" i="2"/>
  <c r="H12" i="2"/>
  <c r="I12" i="2" s="1"/>
  <c r="G12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H2" i="2"/>
  <c r="I2" i="2" s="1"/>
  <c r="G2" i="2"/>
  <c r="A2" i="2"/>
  <c r="A28" i="2" s="1"/>
  <c r="C33" i="1"/>
  <c r="C20" i="1"/>
  <c r="A3" i="2" l="1"/>
  <c r="A4" i="2" s="1"/>
  <c r="A13" i="2"/>
  <c r="A15" i="2"/>
  <c r="A19" i="2"/>
  <c r="A21" i="2"/>
  <c r="A25" i="2"/>
  <c r="A29" i="2"/>
  <c r="A33" i="2"/>
  <c r="A37" i="2"/>
  <c r="A5" i="2"/>
  <c r="A17" i="2"/>
  <c r="A23" i="2"/>
  <c r="A27" i="2"/>
  <c r="A31" i="2"/>
  <c r="A35" i="2"/>
  <c r="A39" i="2"/>
  <c r="D58" i="20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30" i="2"/>
  <c r="A32" i="2"/>
  <c r="A34" i="2"/>
  <c r="A36" i="2"/>
  <c r="A38" i="2"/>
  <c r="A4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<sst xmlns="http://schemas.openxmlformats.org/spreadsheetml/2006/main" count="2093" uniqueCount="335">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</sst>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B6" sqref="B6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117657960</v>
      </c>
    </row>
    <row r="8" spans="1:3" ht="15" customHeight="1" x14ac:dyDescent="0.25">
      <c r="B8" s="69" t="s">
        <v>8</v>
      </c>
      <c r="C8" s="32">
        <v>0.21199999999999999</v>
      </c>
    </row>
    <row r="9" spans="1:3" ht="15" customHeight="1" x14ac:dyDescent="0.25">
      <c r="B9" s="69" t="s">
        <v>9</v>
      </c>
      <c r="C9" s="33">
        <v>0.1323</v>
      </c>
    </row>
    <row r="10" spans="1:3" ht="15" customHeight="1" x14ac:dyDescent="0.25">
      <c r="B10" s="69" t="s">
        <v>10</v>
      </c>
      <c r="C10" s="33">
        <v>0.62193199157714796</v>
      </c>
    </row>
    <row r="11" spans="1:3" ht="15" customHeight="1" x14ac:dyDescent="0.25">
      <c r="B11" s="69" t="s">
        <v>11</v>
      </c>
      <c r="C11" s="32">
        <v>0.51200000000000001</v>
      </c>
    </row>
    <row r="12" spans="1:3" ht="15" customHeight="1" x14ac:dyDescent="0.25">
      <c r="B12" s="69" t="s">
        <v>12</v>
      </c>
      <c r="C12" s="32">
        <v>0.73199999999999998</v>
      </c>
    </row>
    <row r="13" spans="1:3" ht="15" customHeight="1" x14ac:dyDescent="0.25">
      <c r="B13" s="69" t="s">
        <v>13</v>
      </c>
      <c r="C13" s="32">
        <v>0.28000000000000003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0.115</v>
      </c>
    </row>
    <row r="24" spans="1:3" ht="15" customHeight="1" x14ac:dyDescent="0.25">
      <c r="B24" s="7" t="s">
        <v>22</v>
      </c>
      <c r="C24" s="33">
        <v>0.6835</v>
      </c>
    </row>
    <row r="25" spans="1:3" ht="15" customHeight="1" x14ac:dyDescent="0.25">
      <c r="B25" s="7" t="s">
        <v>23</v>
      </c>
      <c r="C25" s="33">
        <v>0.1807</v>
      </c>
    </row>
    <row r="26" spans="1:3" ht="15" customHeight="1" x14ac:dyDescent="0.25">
      <c r="B26" s="7" t="s">
        <v>24</v>
      </c>
      <c r="C26" s="33">
        <v>2.0799999999999999E-2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0.38887065114328001</v>
      </c>
    </row>
    <row r="30" spans="1:3" ht="14.25" customHeight="1" x14ac:dyDescent="0.25">
      <c r="B30" s="15" t="s">
        <v>27</v>
      </c>
      <c r="C30" s="42">
        <v>6.7663917710704194E-2</v>
      </c>
    </row>
    <row r="31" spans="1:3" ht="14.25" customHeight="1" x14ac:dyDescent="0.25">
      <c r="B31" s="15" t="s">
        <v>28</v>
      </c>
      <c r="C31" s="42">
        <v>9.91938403811988E-2</v>
      </c>
    </row>
    <row r="32" spans="1:3" ht="14.25" customHeight="1" x14ac:dyDescent="0.25">
      <c r="B32" s="15" t="s">
        <v>29</v>
      </c>
      <c r="C32" s="42">
        <v>0.44427159076481698</v>
      </c>
    </row>
    <row r="33" spans="1:5" ht="13.2" customHeight="1" x14ac:dyDescent="0.25">
      <c r="B33" s="16" t="s">
        <v>30</v>
      </c>
      <c r="C33" s="98">
        <f>SUM(C29:C32)</f>
        <v>1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21.6603212522026</v>
      </c>
    </row>
    <row r="38" spans="1:5" ht="15" customHeight="1" x14ac:dyDescent="0.25">
      <c r="B38" s="65" t="s">
        <v>34</v>
      </c>
      <c r="C38" s="94">
        <v>28.256772668291301</v>
      </c>
      <c r="D38" s="5"/>
      <c r="E38" s="6"/>
    </row>
    <row r="39" spans="1:5" ht="15" customHeight="1" x14ac:dyDescent="0.25">
      <c r="B39" s="65" t="s">
        <v>35</v>
      </c>
      <c r="C39" s="94">
        <v>34.274759355621804</v>
      </c>
      <c r="D39" s="5"/>
      <c r="E39" s="5"/>
    </row>
    <row r="40" spans="1:5" ht="15" customHeight="1" x14ac:dyDescent="0.25">
      <c r="B40" s="65" t="s">
        <v>36</v>
      </c>
      <c r="C40" s="94">
        <v>1.45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13.927570599999999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2.8846500000000001E-2</v>
      </c>
      <c r="D45" s="5"/>
    </row>
    <row r="46" spans="1:5" ht="15.75" customHeight="1" x14ac:dyDescent="0.25">
      <c r="B46" s="65" t="s">
        <v>41</v>
      </c>
      <c r="C46" s="33">
        <v>0.1006983</v>
      </c>
      <c r="D46" s="5"/>
    </row>
    <row r="47" spans="1:5" ht="15.75" customHeight="1" x14ac:dyDescent="0.25">
      <c r="B47" s="65" t="s">
        <v>42</v>
      </c>
      <c r="C47" s="33">
        <v>0.44022289999999997</v>
      </c>
      <c r="D47" s="5"/>
      <c r="E47" s="6"/>
    </row>
    <row r="48" spans="1:5" ht="15" customHeight="1" x14ac:dyDescent="0.25">
      <c r="B48" s="65" t="s">
        <v>43</v>
      </c>
      <c r="C48" s="97">
        <v>0.43023230000000001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2.4</v>
      </c>
      <c r="D51" s="5"/>
    </row>
    <row r="52" spans="1:4" ht="15" customHeight="1" x14ac:dyDescent="0.25">
      <c r="B52" s="65" t="s">
        <v>46</v>
      </c>
      <c r="C52" s="35">
        <v>2.4</v>
      </c>
    </row>
    <row r="53" spans="1:4" ht="15.75" customHeight="1" x14ac:dyDescent="0.25">
      <c r="B53" s="65" t="s">
        <v>47</v>
      </c>
      <c r="C53" s="35">
        <v>2.4</v>
      </c>
    </row>
    <row r="54" spans="1:4" ht="15.75" customHeight="1" x14ac:dyDescent="0.25">
      <c r="B54" s="65" t="s">
        <v>48</v>
      </c>
      <c r="C54" s="35">
        <v>2.4</v>
      </c>
    </row>
    <row r="55" spans="1:4" ht="15.75" customHeight="1" x14ac:dyDescent="0.25">
      <c r="B55" s="65" t="s">
        <v>49</v>
      </c>
      <c r="C55" s="35">
        <v>2.4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2.1666666666666671E-2</v>
      </c>
    </row>
    <row r="59" spans="1:4" ht="15.75" customHeight="1" x14ac:dyDescent="0.25">
      <c r="B59" s="65" t="s">
        <v>52</v>
      </c>
      <c r="C59" s="32">
        <v>0.45378299999999999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0.14599999999999999</v>
      </c>
    </row>
    <row r="63" spans="1:4" ht="15.75" customHeight="1" x14ac:dyDescent="0.25">
      <c r="A63" s="52"/>
    </row>
  </sheetData>
  <sheetProtection algorithmName="SHA-512" hashValue="eQwhegixl60HMlJR8z6uoOe5Yle0I7tFCYzTTXTXuoTGXFwqFGVj7pB7MJpelYSpPLe0niBjlUwsiWzuRkvGKg==" saltValue="j0ihlDInsunWUibZhP+Y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0.39264249821341002</v>
      </c>
      <c r="C2" s="43">
        <v>0.95</v>
      </c>
      <c r="D2" s="86">
        <v>42.501437539526727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39.532089276751883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170.9591808116555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1.4605445677891711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0.12167087343921699</v>
      </c>
      <c r="C10" s="43">
        <v>0.95</v>
      </c>
      <c r="D10" s="86">
        <v>12.664388720547789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0.12167087343921699</v>
      </c>
      <c r="C11" s="43">
        <v>0.95</v>
      </c>
      <c r="D11" s="86">
        <v>12.664388720547789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0.12167087343921699</v>
      </c>
      <c r="C12" s="43">
        <v>0.95</v>
      </c>
      <c r="D12" s="86">
        <v>12.664388720547789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0.12167087343921699</v>
      </c>
      <c r="C13" s="43">
        <v>0.95</v>
      </c>
      <c r="D13" s="86">
        <v>12.664388720547789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0.12167087343921699</v>
      </c>
      <c r="C14" s="43">
        <v>0.95</v>
      </c>
      <c r="D14" s="86">
        <v>12.664388720547789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0.12167087343921699</v>
      </c>
      <c r="C15" s="43">
        <v>0.95</v>
      </c>
      <c r="D15" s="86">
        <v>12.664388720547789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0.37115452044313663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0.56000000000000005</v>
      </c>
      <c r="C18" s="43">
        <v>0.95</v>
      </c>
      <c r="D18" s="86">
        <v>4.0144932296368099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4.0144932296368099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0.78935350000000004</v>
      </c>
      <c r="C21" s="43">
        <v>0.95</v>
      </c>
      <c r="D21" s="86">
        <v>11.931837010261511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21.672337451693281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4.0619684601961064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0.19953198837649999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9.4895681373739202E-2</v>
      </c>
      <c r="C27" s="43">
        <v>0.95</v>
      </c>
      <c r="D27" s="86">
        <v>18.225977519614752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0.595434482675674</v>
      </c>
      <c r="C29" s="43">
        <v>0.95</v>
      </c>
      <c r="D29" s="86">
        <v>78.207761686108483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5.5168582768474046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6.6000000000000003E-2</v>
      </c>
      <c r="C32" s="43">
        <v>0.95</v>
      </c>
      <c r="D32" s="86">
        <v>0.76115541772848727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0.26009565350000002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1.6031770000000001E-2</v>
      </c>
      <c r="C38" s="43">
        <v>0.95</v>
      </c>
      <c r="D38" s="86">
        <v>1.5696029987704641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0.43742431252508701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nMZB9ovAFO8B6IQhBGOAqg00zzy15zLrtl3PBbou6tAufSumMP0ikp4zdFCq9uqRdk6zzbDk0lPImj8QHfizfA==" saltValue="77WUXacvqusnBje/6AdD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Qyb5nuWFJHgXcyxWXRKwdgsoxA8ylaiP/78nsQ2BisB6jAeGqVR24k4nS5zAxp9cLx+fcxwhJYFQTPYl17BjXw==" saltValue="YaiEOdA/S7OEIsnB9aqB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yz4/ms8nwmcuHGbCXOJxw6LaoKSBXDutxKNbvnn/bkfwJzp6IRsgJnUHaLDDkV6FFCAJJ1AvER51s9WHa6PSCA==" saltValue="qi9HbfEB45btUXc3D/Ae/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2.4</v>
      </c>
      <c r="C2" s="13">
        <f>'Données pop de l''année de ref'!C52</f>
        <v>2.4</v>
      </c>
      <c r="D2" s="13">
        <f>'Données pop de l''année de ref'!C53</f>
        <v>2.4</v>
      </c>
      <c r="E2" s="13">
        <f>'Données pop de l''année de ref'!C54</f>
        <v>2.4</v>
      </c>
      <c r="F2" s="13">
        <f>'Données pop de l''année de ref'!C55</f>
        <v>2.4</v>
      </c>
    </row>
    <row r="3" spans="1:6" ht="15.75" customHeight="1" x14ac:dyDescent="0.25">
      <c r="A3" s="78" t="s">
        <v>203</v>
      </c>
      <c r="B3" s="13">
        <f>frac_mam_1month * 2.6</f>
        <v>0.43244217932224405</v>
      </c>
      <c r="C3" s="13">
        <f>frac_mam_1_5months * 2.6</f>
        <v>0.43244217932224405</v>
      </c>
      <c r="D3" s="13">
        <f>frac_mam_6_11months * 2.6</f>
        <v>0.42419154345989202</v>
      </c>
      <c r="E3" s="13">
        <f>frac_mam_12_23months * 2.6</f>
        <v>0.36336329877376622</v>
      </c>
      <c r="F3" s="13">
        <f>frac_mam_24_59months * 2.6</f>
        <v>0.30784431993961359</v>
      </c>
    </row>
    <row r="4" spans="1:6" ht="15.75" customHeight="1" x14ac:dyDescent="0.25">
      <c r="A4" s="78" t="s">
        <v>204</v>
      </c>
      <c r="B4" s="13">
        <f>frac_sam_1month * 2.6</f>
        <v>0.37773870229721079</v>
      </c>
      <c r="C4" s="13">
        <f>frac_sam_1_5months * 2.6</f>
        <v>0.37773870229721079</v>
      </c>
      <c r="D4" s="13">
        <f>frac_sam_6_11months * 2.6</f>
        <v>0.2799910530447966</v>
      </c>
      <c r="E4" s="13">
        <f>frac_sam_12_23months * 2.6</f>
        <v>0.20391173511743557</v>
      </c>
      <c r="F4" s="13">
        <f>frac_sam_24_59months * 2.6</f>
        <v>0.16102646738290788</v>
      </c>
    </row>
  </sheetData>
  <sheetProtection algorithmName="SHA-512" hashValue="0cbPhgles/35rIWmE2TMXQeZfi4gPcq1teBriYUgp9j4gdt/8+3SMAtl55q5Q9pct173YkhG+D7mZF5OsMM7Nw==" saltValue="/Lo83NDeBoTjXhBhNk4/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0.21199999999999999</v>
      </c>
      <c r="E2" s="47">
        <f>food_insecure</f>
        <v>0.21199999999999999</v>
      </c>
      <c r="F2" s="47">
        <f>food_insecure</f>
        <v>0.21199999999999999</v>
      </c>
      <c r="G2" s="47">
        <f>food_insecure</f>
        <v>0.21199999999999999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0.21199999999999999</v>
      </c>
      <c r="F5" s="47">
        <f>food_insecure</f>
        <v>0.21199999999999999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5.2000000000000011E-2</v>
      </c>
      <c r="D7" s="47">
        <f>diarrhoea_1_5mo*frac_diarrhea_severe</f>
        <v>5.2000000000000011E-2</v>
      </c>
      <c r="E7" s="47">
        <f>diarrhoea_6_11mo*frac_diarrhea_severe</f>
        <v>5.2000000000000011E-2</v>
      </c>
      <c r="F7" s="47">
        <f>diarrhoea_12_23mo*frac_diarrhea_severe</f>
        <v>5.2000000000000011E-2</v>
      </c>
      <c r="G7" s="47">
        <f>diarrhoea_24_59mo*frac_diarrhea_severe</f>
        <v>5.2000000000000011E-2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0.21199999999999999</v>
      </c>
      <c r="F8" s="47">
        <f>food_insecure</f>
        <v>0.21199999999999999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0.21199999999999999</v>
      </c>
      <c r="F9" s="47">
        <f>food_insecure</f>
        <v>0.21199999999999999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0.73199999999999998</v>
      </c>
      <c r="E10" s="47">
        <f>IF(ISBLANK(comm_deliv), frac_children_health_facility,1)</f>
        <v>0.73199999999999998</v>
      </c>
      <c r="F10" s="47">
        <f>IF(ISBLANK(comm_deliv), frac_children_health_facility,1)</f>
        <v>0.73199999999999998</v>
      </c>
      <c r="G10" s="47">
        <f>IF(ISBLANK(comm_deliv), frac_children_health_facility,1)</f>
        <v>0.73199999999999998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5.2000000000000011E-2</v>
      </c>
      <c r="D12" s="47">
        <f>diarrhoea_1_5mo*frac_diarrhea_severe</f>
        <v>5.2000000000000011E-2</v>
      </c>
      <c r="E12" s="47">
        <f>diarrhoea_6_11mo*frac_diarrhea_severe</f>
        <v>5.2000000000000011E-2</v>
      </c>
      <c r="F12" s="47">
        <f>diarrhoea_12_23mo*frac_diarrhea_severe</f>
        <v>5.2000000000000011E-2</v>
      </c>
      <c r="G12" s="47">
        <f>diarrhoea_24_59mo*frac_diarrhea_severe</f>
        <v>5.2000000000000011E-2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0.21199999999999999</v>
      </c>
      <c r="I15" s="47">
        <f>food_insecure</f>
        <v>0.21199999999999999</v>
      </c>
      <c r="J15" s="47">
        <f>food_insecure</f>
        <v>0.21199999999999999</v>
      </c>
      <c r="K15" s="47">
        <f>food_insecure</f>
        <v>0.21199999999999999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0.51200000000000001</v>
      </c>
      <c r="I18" s="47">
        <f>frac_PW_health_facility</f>
        <v>0.51200000000000001</v>
      </c>
      <c r="J18" s="47">
        <f>frac_PW_health_facility</f>
        <v>0.51200000000000001</v>
      </c>
      <c r="K18" s="47">
        <f>frac_PW_health_facility</f>
        <v>0.51200000000000001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0.1323</v>
      </c>
      <c r="I19" s="47">
        <f>frac_malaria_risk</f>
        <v>0.1323</v>
      </c>
      <c r="J19" s="47">
        <f>frac_malaria_risk</f>
        <v>0.1323</v>
      </c>
      <c r="K19" s="47">
        <f>frac_malaria_risk</f>
        <v>0.1323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0.28000000000000003</v>
      </c>
      <c r="M24" s="47">
        <f>famplan_unmet_need</f>
        <v>0.28000000000000003</v>
      </c>
      <c r="N24" s="47">
        <f>famplan_unmet_need</f>
        <v>0.28000000000000003</v>
      </c>
      <c r="O24" s="47">
        <f>famplan_unmet_need</f>
        <v>0.28000000000000003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0.20208491186218289</v>
      </c>
      <c r="M25" s="47">
        <f>(1-food_insecure)*(0.49)+food_insecure*(0.7)</f>
        <v>0.53452</v>
      </c>
      <c r="N25" s="47">
        <f>(1-food_insecure)*(0.49)+food_insecure*(0.7)</f>
        <v>0.53452</v>
      </c>
      <c r="O25" s="47">
        <f>(1-food_insecure)*(0.49)+food_insecure*(0.7)</f>
        <v>0.53452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8.6607819369506941E-2</v>
      </c>
      <c r="M26" s="47">
        <f>(1-food_insecure)*(0.21)+food_insecure*(0.3)</f>
        <v>0.22907999999999998</v>
      </c>
      <c r="N26" s="47">
        <f>(1-food_insecure)*(0.21)+food_insecure*(0.3)</f>
        <v>0.22907999999999998</v>
      </c>
      <c r="O26" s="47">
        <f>(1-food_insecure)*(0.21)+food_insecure*(0.3)</f>
        <v>0.22907999999999998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8.9375277191162228E-2</v>
      </c>
      <c r="M27" s="47">
        <f>(1-food_insecure)*(0.3)</f>
        <v>0.2364</v>
      </c>
      <c r="N27" s="47">
        <f>(1-food_insecure)*(0.3)</f>
        <v>0.2364</v>
      </c>
      <c r="O27" s="47">
        <f>(1-food_insecure)*(0.3)</f>
        <v>0.2364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0.62193199157714796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0.1323</v>
      </c>
      <c r="D34" s="47">
        <f t="shared" si="3"/>
        <v>0.1323</v>
      </c>
      <c r="E34" s="47">
        <f t="shared" si="3"/>
        <v>0.1323</v>
      </c>
      <c r="F34" s="47">
        <f t="shared" si="3"/>
        <v>0.1323</v>
      </c>
      <c r="G34" s="47">
        <f t="shared" si="3"/>
        <v>0.1323</v>
      </c>
      <c r="H34" s="47">
        <f t="shared" si="3"/>
        <v>0.1323</v>
      </c>
      <c r="I34" s="47">
        <f t="shared" si="3"/>
        <v>0.1323</v>
      </c>
      <c r="J34" s="47">
        <f t="shared" si="3"/>
        <v>0.1323</v>
      </c>
      <c r="K34" s="47">
        <f t="shared" si="3"/>
        <v>0.1323</v>
      </c>
      <c r="L34" s="47">
        <f t="shared" si="3"/>
        <v>0.1323</v>
      </c>
      <c r="M34" s="47">
        <f t="shared" si="3"/>
        <v>0.1323</v>
      </c>
      <c r="N34" s="47">
        <f t="shared" si="3"/>
        <v>0.1323</v>
      </c>
      <c r="O34" s="47">
        <f t="shared" si="3"/>
        <v>0.1323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LKDG1D/LvR440iDGcYsh4ZuAgJKIwzoxygG9ZFx6CkD4SUDY+r++IIuqNETmozCU7c9x0jip0x37dMO0Q/RlDw==" saltValue="H6yAZe4Zy5CCM7j+BbRd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2O4m0WXTD9DFJY09SNnRWEPLg4jSDsXp7FoZxv0/P3ZgGhgoj34PdxBH7j7EY9ne7ABuD1Etr8Riu2jbKz+rFw==" saltValue="R60W6Mnm0PJCZ/ugLecm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tc5Dc+rj4+qS9sFTcLbHTZENeLnVT2mVZ0MaD2SdguumJeNH9GV4OgWUseVEl2C0cExpjwoLkBcK+bgQft9Gig==" saltValue="2yD9n5At1XXbLIAjeU4m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5PYa2zm1r4/9GPXtrUnRbiGk9BCIdyh+2UGQCce7EftubCRYq9PG1RPIWPh8uVt4XtELWK/OcCYIiMpzyhA17A==" saltValue="9vmNRAE3QlGabf+uPWwx3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aCxXe5vwZOf0qXV1QGsIcBTMw9eephIdMh0qC0mrjM/pv/5mPW7txC23aFHpj4mM7E4EI2jZXTDAGRUhNgMMGA==" saltValue="tfnGRLgUku5FK2z4m2lA6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5SNpA1/HPzCbzlrUBzj8whfKZ4t3vdXeuP0XoS0SDZNp17FFywDOg8Z3QrtO/JYepe2FsA0lrJj3zdueIm2Tog==" saltValue="+/OKp618tncFKoeAhRnYj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24957695.295400001</v>
      </c>
      <c r="C2" s="37">
        <v>59567000</v>
      </c>
      <c r="D2" s="37">
        <v>113886000</v>
      </c>
      <c r="E2" s="37">
        <v>104436000</v>
      </c>
      <c r="F2" s="37">
        <v>84020000</v>
      </c>
      <c r="G2" s="9">
        <f t="shared" ref="G2:G40" si="0">C2+D2+E2+F2</f>
        <v>361909000</v>
      </c>
      <c r="H2" s="9">
        <f t="shared" ref="H2:H40" si="1">(B2 + stillbirth*B2/(1000-stillbirth))/(1-abortion)</f>
        <v>28761596.547622088</v>
      </c>
      <c r="I2" s="9">
        <f t="shared" ref="I2:I40" si="2">G2-H2</f>
        <v>333147403.45237792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24871390.563999999</v>
      </c>
      <c r="C3" s="37">
        <v>59681000</v>
      </c>
      <c r="D3" s="37">
        <v>114524000</v>
      </c>
      <c r="E3" s="37">
        <v>105540000</v>
      </c>
      <c r="F3" s="37">
        <v>85971000</v>
      </c>
      <c r="G3" s="9">
        <f t="shared" si="0"/>
        <v>365716000</v>
      </c>
      <c r="H3" s="9">
        <f t="shared" si="1"/>
        <v>28662137.770066805</v>
      </c>
      <c r="I3" s="9">
        <f t="shared" si="2"/>
        <v>337053862.2299332</v>
      </c>
    </row>
    <row r="4" spans="1:9" ht="15.75" customHeight="1" x14ac:dyDescent="0.25">
      <c r="A4" s="69">
        <f t="shared" si="3"/>
        <v>2023</v>
      </c>
      <c r="B4" s="36">
        <v>24774091.577199999</v>
      </c>
      <c r="C4" s="37">
        <v>59748000</v>
      </c>
      <c r="D4" s="37">
        <v>115170000</v>
      </c>
      <c r="E4" s="37">
        <v>106506000</v>
      </c>
      <c r="F4" s="37">
        <v>88002000</v>
      </c>
      <c r="G4" s="9">
        <f t="shared" si="0"/>
        <v>369426000</v>
      </c>
      <c r="H4" s="9">
        <f t="shared" si="1"/>
        <v>28550009.059073616</v>
      </c>
      <c r="I4" s="9">
        <f t="shared" si="2"/>
        <v>340875990.94092637</v>
      </c>
    </row>
    <row r="5" spans="1:9" ht="15.75" customHeight="1" x14ac:dyDescent="0.25">
      <c r="A5" s="69">
        <f t="shared" si="3"/>
        <v>2024</v>
      </c>
      <c r="B5" s="36">
        <v>24665684.802000001</v>
      </c>
      <c r="C5" s="37">
        <v>59661000</v>
      </c>
      <c r="D5" s="37">
        <v>115750000</v>
      </c>
      <c r="E5" s="37">
        <v>107359000</v>
      </c>
      <c r="F5" s="37">
        <v>90040000</v>
      </c>
      <c r="G5" s="9">
        <f t="shared" si="0"/>
        <v>372810000</v>
      </c>
      <c r="H5" s="9">
        <f t="shared" si="1"/>
        <v>28425079.577628031</v>
      </c>
      <c r="I5" s="9">
        <f t="shared" si="2"/>
        <v>344384920.42237198</v>
      </c>
    </row>
    <row r="6" spans="1:9" ht="15.75" customHeight="1" x14ac:dyDescent="0.25">
      <c r="A6" s="69">
        <f t="shared" si="3"/>
        <v>2025</v>
      </c>
      <c r="B6" s="36">
        <v>24546072.903000001</v>
      </c>
      <c r="C6" s="37">
        <v>59363000</v>
      </c>
      <c r="D6" s="37">
        <v>116225000</v>
      </c>
      <c r="E6" s="37">
        <v>108123000</v>
      </c>
      <c r="F6" s="37">
        <v>92034000</v>
      </c>
      <c r="G6" s="9">
        <f t="shared" si="0"/>
        <v>375745000</v>
      </c>
      <c r="H6" s="9">
        <f t="shared" si="1"/>
        <v>28287237.155055989</v>
      </c>
      <c r="I6" s="9">
        <f t="shared" si="2"/>
        <v>347457762.844944</v>
      </c>
    </row>
    <row r="7" spans="1:9" ht="15.75" customHeight="1" x14ac:dyDescent="0.25">
      <c r="A7" s="69">
        <f t="shared" si="3"/>
        <v>2026</v>
      </c>
      <c r="B7" s="36">
        <v>24417275.365200002</v>
      </c>
      <c r="C7" s="37">
        <v>58895000</v>
      </c>
      <c r="D7" s="37">
        <v>116737000</v>
      </c>
      <c r="E7" s="37">
        <v>108899000</v>
      </c>
      <c r="F7" s="37">
        <v>93999000</v>
      </c>
      <c r="G7" s="9">
        <f t="shared" si="0"/>
        <v>378530000</v>
      </c>
      <c r="H7" s="9">
        <f t="shared" si="1"/>
        <v>28138809.07406994</v>
      </c>
      <c r="I7" s="9">
        <f t="shared" si="2"/>
        <v>350391190.92593008</v>
      </c>
    </row>
    <row r="8" spans="1:9" ht="15.75" customHeight="1" x14ac:dyDescent="0.25">
      <c r="A8" s="69">
        <f t="shared" si="3"/>
        <v>2027</v>
      </c>
      <c r="B8" s="36">
        <v>24277259.020799998</v>
      </c>
      <c r="C8" s="37">
        <v>58211000</v>
      </c>
      <c r="D8" s="37">
        <v>117160000</v>
      </c>
      <c r="E8" s="37">
        <v>109588000</v>
      </c>
      <c r="F8" s="37">
        <v>95933000</v>
      </c>
      <c r="G8" s="9">
        <f t="shared" si="0"/>
        <v>380892000</v>
      </c>
      <c r="H8" s="9">
        <f t="shared" si="1"/>
        <v>27977452.283707652</v>
      </c>
      <c r="I8" s="9">
        <f t="shared" si="2"/>
        <v>352914547.71629232</v>
      </c>
    </row>
    <row r="9" spans="1:9" ht="15.75" customHeight="1" x14ac:dyDescent="0.25">
      <c r="A9" s="69">
        <f t="shared" si="3"/>
        <v>2028</v>
      </c>
      <c r="B9" s="36">
        <v>24125888.478999998</v>
      </c>
      <c r="C9" s="37">
        <v>57439000</v>
      </c>
      <c r="D9" s="37">
        <v>117444000</v>
      </c>
      <c r="E9" s="37">
        <v>110217000</v>
      </c>
      <c r="F9" s="37">
        <v>97781000</v>
      </c>
      <c r="G9" s="9">
        <f t="shared" si="0"/>
        <v>382881000</v>
      </c>
      <c r="H9" s="9">
        <f t="shared" si="1"/>
        <v>27803010.757720713</v>
      </c>
      <c r="I9" s="9">
        <f t="shared" si="2"/>
        <v>355077989.24227929</v>
      </c>
    </row>
    <row r="10" spans="1:9" ht="15.75" customHeight="1" x14ac:dyDescent="0.25">
      <c r="A10" s="69">
        <f t="shared" si="3"/>
        <v>2029</v>
      </c>
      <c r="B10" s="36">
        <v>23963033.227600001</v>
      </c>
      <c r="C10" s="37">
        <v>56776000</v>
      </c>
      <c r="D10" s="37">
        <v>117529000</v>
      </c>
      <c r="E10" s="37">
        <v>110826000</v>
      </c>
      <c r="F10" s="37">
        <v>99480000</v>
      </c>
      <c r="G10" s="9">
        <f t="shared" si="0"/>
        <v>384611000</v>
      </c>
      <c r="H10" s="9">
        <f t="shared" si="1"/>
        <v>27615334.092027482</v>
      </c>
      <c r="I10" s="9">
        <f t="shared" si="2"/>
        <v>356995665.90797251</v>
      </c>
    </row>
    <row r="11" spans="1:9" ht="15.75" customHeight="1" x14ac:dyDescent="0.25">
      <c r="A11" s="69">
        <f t="shared" si="3"/>
        <v>2030</v>
      </c>
      <c r="B11" s="36">
        <v>23788663.155000001</v>
      </c>
      <c r="C11" s="37">
        <v>56339000</v>
      </c>
      <c r="D11" s="37">
        <v>117380000</v>
      </c>
      <c r="E11" s="37">
        <v>111437000</v>
      </c>
      <c r="F11" s="37">
        <v>100988000</v>
      </c>
      <c r="G11" s="9">
        <f t="shared" si="0"/>
        <v>386144000</v>
      </c>
      <c r="H11" s="9">
        <f t="shared" si="1"/>
        <v>27414387.585599657</v>
      </c>
      <c r="I11" s="9">
        <f t="shared" si="2"/>
        <v>358729612.41440034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2973228.0250469213</v>
      </c>
      <c r="I12" s="9">
        <f t="shared" si="2"/>
        <v>15610440.974953078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3030848.7232067455</v>
      </c>
      <c r="I13" s="9">
        <f t="shared" si="2"/>
        <v>16143731.276793255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3099993.5609985343</v>
      </c>
      <c r="I14" s="9">
        <f t="shared" si="2"/>
        <v>16676262.439001465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3157614.2591583584</v>
      </c>
      <c r="I15" s="9">
        <f t="shared" si="2"/>
        <v>17229113.740841642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59tgFZL193x7msuBksR8VoBDDceM0ljMEU97eRfuYyaaiUCxssW+dtJwfXgClynl6jaJEQjPfJ6uYWkIrUbtHQ==" saltValue="X9Cx/KZG2BxTpXQ8IlmqU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RTr4YZRu8YgEhwPv+AHrSbFfDBSY4RyMZjpGsfANknFZnbqk8IoT2YkbMvh96sgywM/9htRw6ycs96Ng0+qUwg==" saltValue="wGHiKLNQ4tNRiisLHkSya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73L0fVO8LMo+kDtmJhCju+UvrRENvcMghbtG2DIDoYoUueGHh3fnDbQJi93zW/L+JF+NeqcCLX2VRrj6zAPLZQ==" saltValue="D65V9WpNDEG+yFkenC+9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customHeight="1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customHeight="1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customHeight="1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customHeight="1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customHeight="1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dGG8XXi7a+jL4CoFf/FukHStbtAQ5tz+hS1o5HZEed6GAwWJuE/GjC3rEDInTRD3DQe3jqnF+oAnKPtKDhSv5w==" saltValue="SK0Xtc8MCMxxAk6I1mdb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94d3F9twXAARU74Ouuuh8fEcC6eZgpkUZp687NJ38x2YVhL2dE2zBZdCmodoJstZgJwIBrOe9DMBftEtpjmIQQ==" saltValue="c/a7gIaGENrGAw+CEeme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211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316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211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316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211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316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211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316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211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316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211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316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211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316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211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316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211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316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211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316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211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316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211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316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211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316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211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316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211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316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211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316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211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316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211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316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q8XKjg5CQxyChNG9SjU60kVeTRx2UYBbhiLJlXZtfHq+DNvg+6dM4y6161arbLjO1ms61KPKYxq/P1dNI5kYPA==" saltValue="9IdfLMP8UyssZTYZWsiJ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317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318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319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320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321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322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0ZkIG0xXH27VS56XXDI7tKEqXHOUT4KGKqx85Syc8w7Kgfsi7Xl2kpCXOqylV2yUF9V9Q/WY4UMm/95NitvrDQ==" saltValue="rejMo134z258eD+42Wla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323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324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325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326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327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328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329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330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79hDzam5WrL+oEjr5RoCdypb/zTML8BczRMNPRyYMX0yM2Ea7KKOGGuZHRW9CtkihZvBEMo5zmsY9K/kEpcgRA==" saltValue="03OiLDi5JhJXmtLK47Qm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9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331</v>
      </c>
      <c r="C1" s="76" t="s">
        <v>332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316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333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334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316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334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316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334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316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334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316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334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316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334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316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334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316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334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316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334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316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333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316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333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316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333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316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333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334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316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333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334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316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333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334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316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333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334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316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333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334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316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333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334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316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333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334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316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333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316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333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316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333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325</v>
      </c>
      <c r="B55" s="93"/>
      <c r="C55" s="93"/>
    </row>
    <row r="56" spans="1:8" x14ac:dyDescent="0.25">
      <c r="A56" s="52" t="s">
        <v>156</v>
      </c>
      <c r="B56" s="52" t="s">
        <v>331</v>
      </c>
      <c r="C56" s="76" t="s">
        <v>332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316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333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334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316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334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316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334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316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334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316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334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316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334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316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334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316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334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316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334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316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333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316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333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316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333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316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333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334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316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333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334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316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333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334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316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333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334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316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333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334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316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333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334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316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333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334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316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333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316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333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316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333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328</v>
      </c>
      <c r="B110" s="93"/>
      <c r="C110" s="93"/>
    </row>
    <row r="111" spans="1:8" x14ac:dyDescent="0.25">
      <c r="A111" s="52" t="s">
        <v>156</v>
      </c>
      <c r="B111" s="52" t="s">
        <v>331</v>
      </c>
      <c r="C111" s="76" t="s">
        <v>332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316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333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334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316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334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316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334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316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334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316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334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316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334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316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334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316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334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316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334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316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333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316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333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316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333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316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333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334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316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333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334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316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333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334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316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333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334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316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333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334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316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333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334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316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333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334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316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333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316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333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316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333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Vc3h5nfsJK7iKj49GvDqPkcO6snZ2y/0hmiXrz/+9w3374wL+zU3/rVLwkzcpJ60HMtYAkmmBNM7lBXhlqJ/eA==" saltValue="pb1HI+/ZQEE9+vi6WEG+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331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316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333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316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333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316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333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325</v>
      </c>
    </row>
    <row r="10" spans="1:8" x14ac:dyDescent="0.25">
      <c r="A10" s="70" t="s">
        <v>156</v>
      </c>
      <c r="B10" s="70" t="s">
        <v>331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316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333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316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333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316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333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328</v>
      </c>
    </row>
    <row r="19" spans="1:7" x14ac:dyDescent="0.25">
      <c r="A19" s="70" t="s">
        <v>156</v>
      </c>
      <c r="B19" s="70" t="s">
        <v>331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316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333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316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333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316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333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C81VN1Mc5RLvIRGWFGIm1pzzxDAMBVfb7WYh+/stGexEzTwMsu/gsOFGKIboSEX4YpLXnfvLcARoIns1yxXt1A==" saltValue="elbTiNfSG9apWmhzoT5lz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7.1334933023229864E-3</v>
      </c>
    </row>
    <row r="4" spans="1:8" ht="15.75" customHeight="1" x14ac:dyDescent="0.25">
      <c r="B4" s="11" t="s">
        <v>69</v>
      </c>
      <c r="C4" s="38">
        <v>0.1236259470632976</v>
      </c>
    </row>
    <row r="5" spans="1:8" ht="15.75" customHeight="1" x14ac:dyDescent="0.25">
      <c r="B5" s="11" t="s">
        <v>70</v>
      </c>
      <c r="C5" s="38">
        <v>5.1333366726012998E-2</v>
      </c>
    </row>
    <row r="6" spans="1:8" ht="15.75" customHeight="1" x14ac:dyDescent="0.25">
      <c r="B6" s="11" t="s">
        <v>71</v>
      </c>
      <c r="C6" s="38">
        <v>0.1890203590587059</v>
      </c>
    </row>
    <row r="7" spans="1:8" ht="15.75" customHeight="1" x14ac:dyDescent="0.25">
      <c r="B7" s="11" t="s">
        <v>72</v>
      </c>
      <c r="C7" s="38">
        <v>0.43846498168558418</v>
      </c>
    </row>
    <row r="8" spans="1:8" ht="15.75" customHeight="1" x14ac:dyDescent="0.25">
      <c r="B8" s="11" t="s">
        <v>73</v>
      </c>
      <c r="C8" s="38">
        <v>7.943130021303979E-3</v>
      </c>
    </row>
    <row r="9" spans="1:8" ht="15.75" customHeight="1" x14ac:dyDescent="0.25">
      <c r="B9" s="11" t="s">
        <v>74</v>
      </c>
      <c r="C9" s="38">
        <v>0.11123585798482929</v>
      </c>
    </row>
    <row r="10" spans="1:8" ht="15.75" customHeight="1" x14ac:dyDescent="0.25">
      <c r="B10" s="11" t="s">
        <v>75</v>
      </c>
      <c r="C10" s="38">
        <v>7.12428641579433E-2</v>
      </c>
    </row>
    <row r="11" spans="1:8" ht="15.75" customHeight="1" x14ac:dyDescent="0.25">
      <c r="B11" s="16" t="s">
        <v>30</v>
      </c>
      <c r="C11" s="98">
        <f>SUM(C3:C10)</f>
        <v>1.0000000000000002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0.22684096940516779</v>
      </c>
      <c r="D14" s="38">
        <v>0.22684096940516779</v>
      </c>
      <c r="E14" s="38">
        <v>0.22684096940516779</v>
      </c>
      <c r="F14" s="38">
        <v>0.22684096940516779</v>
      </c>
    </row>
    <row r="15" spans="1:8" ht="15.75" customHeight="1" x14ac:dyDescent="0.25">
      <c r="B15" s="11" t="s">
        <v>82</v>
      </c>
      <c r="C15" s="38">
        <v>0.28937248104088609</v>
      </c>
      <c r="D15" s="38">
        <v>0.28937248104088609</v>
      </c>
      <c r="E15" s="38">
        <v>0.28937248104088609</v>
      </c>
      <c r="F15" s="38">
        <v>0.28937248104088609</v>
      </c>
    </row>
    <row r="16" spans="1:8" ht="15.75" customHeight="1" x14ac:dyDescent="0.25">
      <c r="B16" s="11" t="s">
        <v>83</v>
      </c>
      <c r="C16" s="38">
        <v>4.2642173620457677E-2</v>
      </c>
      <c r="D16" s="38">
        <v>4.2642173620457677E-2</v>
      </c>
      <c r="E16" s="38">
        <v>4.2642173620457677E-2</v>
      </c>
      <c r="F16" s="38">
        <v>4.2642173620457677E-2</v>
      </c>
    </row>
    <row r="17" spans="1:8" ht="15.75" customHeight="1" x14ac:dyDescent="0.25">
      <c r="B17" s="11" t="s">
        <v>84</v>
      </c>
      <c r="C17" s="38">
        <v>5.2127276187801823E-2</v>
      </c>
      <c r="D17" s="38">
        <v>5.2127276187801823E-2</v>
      </c>
      <c r="E17" s="38">
        <v>5.2127276187801823E-2</v>
      </c>
      <c r="F17" s="38">
        <v>5.2127276187801823E-2</v>
      </c>
    </row>
    <row r="18" spans="1:8" ht="15.75" customHeight="1" x14ac:dyDescent="0.25">
      <c r="B18" s="11" t="s">
        <v>85</v>
      </c>
      <c r="C18" s="38">
        <v>3.498236741588545E-3</v>
      </c>
      <c r="D18" s="38">
        <v>3.498236741588545E-3</v>
      </c>
      <c r="E18" s="38">
        <v>3.498236741588545E-3</v>
      </c>
      <c r="F18" s="38">
        <v>3.498236741588545E-3</v>
      </c>
    </row>
    <row r="19" spans="1:8" ht="15.75" customHeight="1" x14ac:dyDescent="0.25">
      <c r="B19" s="11" t="s">
        <v>86</v>
      </c>
      <c r="C19" s="38">
        <v>3.8444770076835719E-3</v>
      </c>
      <c r="D19" s="38">
        <v>3.8444770076835719E-3</v>
      </c>
      <c r="E19" s="38">
        <v>3.8444770076835719E-3</v>
      </c>
      <c r="F19" s="38">
        <v>3.8444770076835719E-3</v>
      </c>
    </row>
    <row r="20" spans="1:8" ht="15.75" customHeight="1" x14ac:dyDescent="0.25">
      <c r="B20" s="11" t="s">
        <v>87</v>
      </c>
      <c r="C20" s="38">
        <v>0</v>
      </c>
      <c r="D20" s="38">
        <v>0</v>
      </c>
      <c r="E20" s="38">
        <v>0</v>
      </c>
      <c r="F20" s="38">
        <v>0</v>
      </c>
    </row>
    <row r="21" spans="1:8" ht="15.75" customHeight="1" x14ac:dyDescent="0.25">
      <c r="B21" s="11" t="s">
        <v>88</v>
      </c>
      <c r="C21" s="38">
        <v>7.9760441725516024E-2</v>
      </c>
      <c r="D21" s="38">
        <v>7.9760441725516024E-2</v>
      </c>
      <c r="E21" s="38">
        <v>7.9760441725516024E-2</v>
      </c>
      <c r="F21" s="38">
        <v>7.9760441725516024E-2</v>
      </c>
    </row>
    <row r="22" spans="1:8" ht="15.75" customHeight="1" x14ac:dyDescent="0.25">
      <c r="B22" s="11" t="s">
        <v>89</v>
      </c>
      <c r="C22" s="38">
        <v>0.30191394427089863</v>
      </c>
      <c r="D22" s="38">
        <v>0.30191394427089863</v>
      </c>
      <c r="E22" s="38">
        <v>0.30191394427089863</v>
      </c>
      <c r="F22" s="38">
        <v>0.30191394427089863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3.4359752E-2</v>
      </c>
    </row>
    <row r="27" spans="1:8" ht="15.75" customHeight="1" x14ac:dyDescent="0.25">
      <c r="B27" s="11" t="s">
        <v>92</v>
      </c>
      <c r="C27" s="38">
        <v>1.0551130000000001E-3</v>
      </c>
    </row>
    <row r="28" spans="1:8" ht="15.75" customHeight="1" x14ac:dyDescent="0.25">
      <c r="B28" s="11" t="s">
        <v>93</v>
      </c>
      <c r="C28" s="38">
        <v>0.250608724</v>
      </c>
    </row>
    <row r="29" spans="1:8" ht="15.75" customHeight="1" x14ac:dyDescent="0.25">
      <c r="B29" s="11" t="s">
        <v>94</v>
      </c>
      <c r="C29" s="38">
        <v>9.0697442000000003E-2</v>
      </c>
    </row>
    <row r="30" spans="1:8" ht="15.75" customHeight="1" x14ac:dyDescent="0.25">
      <c r="B30" s="11" t="s">
        <v>95</v>
      </c>
      <c r="C30" s="38">
        <v>0.16739261999999999</v>
      </c>
    </row>
    <row r="31" spans="1:8" ht="15.75" customHeight="1" x14ac:dyDescent="0.25">
      <c r="B31" s="11" t="s">
        <v>96</v>
      </c>
      <c r="C31" s="38">
        <v>6.9589346999999982E-2</v>
      </c>
    </row>
    <row r="32" spans="1:8" ht="15.75" customHeight="1" x14ac:dyDescent="0.25">
      <c r="B32" s="11" t="s">
        <v>97</v>
      </c>
      <c r="C32" s="38">
        <v>1.8007848999999999E-2</v>
      </c>
    </row>
    <row r="33" spans="2:3" ht="15.75" customHeight="1" x14ac:dyDescent="0.25">
      <c r="B33" s="11" t="s">
        <v>98</v>
      </c>
      <c r="C33" s="38">
        <v>4.5114976999999987E-2</v>
      </c>
    </row>
    <row r="34" spans="2:3" ht="15.75" customHeight="1" x14ac:dyDescent="0.25">
      <c r="B34" s="11" t="s">
        <v>99</v>
      </c>
      <c r="C34" s="38">
        <v>0.32317417500000001</v>
      </c>
    </row>
    <row r="35" spans="2:3" ht="15.75" customHeight="1" x14ac:dyDescent="0.25">
      <c r="B35" s="16" t="s">
        <v>30</v>
      </c>
      <c r="C35" s="98">
        <f>SUM(C26:C34)</f>
        <v>0.99999999899999992</v>
      </c>
    </row>
  </sheetData>
  <sheetProtection algorithmName="SHA-512" hashValue="td87MFi//N0oYbQW4FJqL8KHKjtLjyXOQv2Fnj8k3s/V3M5Tjmv2Lswe/OUvHQaRFO7OxnToTfhNe1utLJth+w==" saltValue="PLNJ2vzx4pBzTE1EXYs3lA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0.42765772698666105</v>
      </c>
      <c r="D2" s="99">
        <f>IFERROR(1-_xlfn.NORM.DIST(_xlfn.NORM.INV(SUM(D4:D5), 0, 1) + 1, 0, 1, TRUE), "")</f>
        <v>0.42765772698666105</v>
      </c>
      <c r="E2" s="99">
        <f>IFERROR(1-_xlfn.NORM.DIST(_xlfn.NORM.INV(SUM(E4:E5), 0, 1) + 1, 0, 1, TRUE), "")</f>
        <v>0.3969440307427442</v>
      </c>
      <c r="F2" s="99">
        <f>IFERROR(1-_xlfn.NORM.DIST(_xlfn.NORM.INV(SUM(F4:F5), 0, 1) + 1, 0, 1, TRUE), "")</f>
        <v>0.21182496483840985</v>
      </c>
      <c r="G2" s="99">
        <f>IFERROR(1-_xlfn.NORM.DIST(_xlfn.NORM.INV(SUM(G4:G5), 0, 1) + 1, 0, 1, TRUE), "")</f>
        <v>0.21653554642399442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0.36556642891620195</v>
      </c>
      <c r="D3" s="99">
        <f>IFERROR(_xlfn.NORM.DIST(_xlfn.NORM.INV(SUM(D4:D5), 0, 1) + 1, 0, 1, TRUE) - SUM(D4:D5), "")</f>
        <v>0.36556642891620195</v>
      </c>
      <c r="E3" s="99">
        <f>IFERROR(_xlfn.NORM.DIST(_xlfn.NORM.INV(SUM(E4:E5), 0, 1) + 1, 0, 1, TRUE) - SUM(E4:E5), "")</f>
        <v>0.37302196808566679</v>
      </c>
      <c r="F3" s="99">
        <f>IFERROR(_xlfn.NORM.DIST(_xlfn.NORM.INV(SUM(F4:F5), 0, 1) + 1, 0, 1, TRUE) - SUM(F4:F5), "")</f>
        <v>0.36739366118392913</v>
      </c>
      <c r="G3" s="99">
        <f>IFERROR(_xlfn.NORM.DIST(_xlfn.NORM.INV(SUM(G4:G5), 0, 1) + 1, 0, 1, TRUE) - SUM(G4:G5), "")</f>
        <v>0.36899115836421359</v>
      </c>
    </row>
    <row r="4" spans="1:15" ht="15.75" customHeight="1" x14ac:dyDescent="0.25">
      <c r="B4" s="69" t="s">
        <v>104</v>
      </c>
      <c r="C4" s="39">
        <v>0.10171090811491</v>
      </c>
      <c r="D4" s="39">
        <v>0.10171090811491</v>
      </c>
      <c r="E4" s="39">
        <v>0.124386839568615</v>
      </c>
      <c r="F4" s="39">
        <v>0.228345662355423</v>
      </c>
      <c r="G4" s="39">
        <v>0.243984594941139</v>
      </c>
    </row>
    <row r="5" spans="1:15" ht="15.75" customHeight="1" x14ac:dyDescent="0.25">
      <c r="B5" s="69" t="s">
        <v>105</v>
      </c>
      <c r="C5" s="39">
        <v>0.10506493598222701</v>
      </c>
      <c r="D5" s="39">
        <v>0.10506493598222701</v>
      </c>
      <c r="E5" s="39">
        <v>0.10564716160297399</v>
      </c>
      <c r="F5" s="39">
        <v>0.19243571162223799</v>
      </c>
      <c r="G5" s="39">
        <v>0.17048870027065299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0.30548037746425138</v>
      </c>
      <c r="D8" s="99">
        <f>IFERROR(1-_xlfn.NORM.DIST(_xlfn.NORM.INV(SUM(D10:D11), 0, 1) + 1, 0, 1, TRUE), "")</f>
        <v>0.30548037746425138</v>
      </c>
      <c r="E8" s="99">
        <f>IFERROR(1-_xlfn.NORM.DIST(_xlfn.NORM.INV(SUM(E10:E11), 0, 1) + 1, 0, 1, TRUE), "")</f>
        <v>0.348370364029993</v>
      </c>
      <c r="F8" s="99">
        <f>IFERROR(1-_xlfn.NORM.DIST(_xlfn.NORM.INV(SUM(F10:F11), 0, 1) + 1, 0, 1, TRUE), "")</f>
        <v>0.41229139204811616</v>
      </c>
      <c r="G8" s="99">
        <f>IFERROR(1-_xlfn.NORM.DIST(_xlfn.NORM.INV(SUM(G10:G11), 0, 1) + 1, 0, 1, TRUE), "")</f>
        <v>0.46576876938050582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0.38291159114365059</v>
      </c>
      <c r="D9" s="99">
        <f>IFERROR(_xlfn.NORM.DIST(_xlfn.NORM.INV(SUM(D10:D11), 0, 1) + 1, 0, 1, TRUE) - SUM(D10:D11), "")</f>
        <v>0.38291159114365059</v>
      </c>
      <c r="E9" s="99">
        <f>IFERROR(_xlfn.NORM.DIST(_xlfn.NORM.INV(SUM(E10:E11), 0, 1) + 1, 0, 1, TRUE) - SUM(E10:E11), "")</f>
        <v>0.38079017577589602</v>
      </c>
      <c r="F9" s="99">
        <f>IFERROR(_xlfn.NORM.DIST(_xlfn.NORM.INV(SUM(F10:F11), 0, 1) + 1, 0, 1, TRUE) - SUM(F10:F11), "")</f>
        <v>0.36952590260911394</v>
      </c>
      <c r="G9" s="99">
        <f>IFERROR(_xlfn.NORM.DIST(_xlfn.NORM.INV(SUM(G10:G11), 0, 1) + 1, 0, 1, TRUE) - SUM(G10:G11), "")</f>
        <v>0.35389631241852437</v>
      </c>
    </row>
    <row r="10" spans="1:15" ht="15.75" customHeight="1" x14ac:dyDescent="0.25">
      <c r="B10" s="69" t="s">
        <v>109</v>
      </c>
      <c r="C10" s="39">
        <v>0.16632391512394001</v>
      </c>
      <c r="D10" s="39">
        <v>0.16632391512394001</v>
      </c>
      <c r="E10" s="39">
        <v>0.16315059363841999</v>
      </c>
      <c r="F10" s="39">
        <v>0.13975511491298701</v>
      </c>
      <c r="G10" s="39">
        <v>0.118401661515236</v>
      </c>
    </row>
    <row r="11" spans="1:15" ht="15.75" customHeight="1" x14ac:dyDescent="0.25">
      <c r="B11" s="69" t="s">
        <v>110</v>
      </c>
      <c r="C11" s="39">
        <v>0.14528411626815799</v>
      </c>
      <c r="D11" s="39">
        <v>0.14528411626815799</v>
      </c>
      <c r="E11" s="39">
        <v>0.107688866555691</v>
      </c>
      <c r="F11" s="39">
        <v>7.8427590429782909E-2</v>
      </c>
      <c r="G11" s="39">
        <v>6.1933256685733802E-2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0.74456066350000005</v>
      </c>
      <c r="D14" s="40">
        <v>0.75094963539799986</v>
      </c>
      <c r="E14" s="40">
        <v>0.75094963539799986</v>
      </c>
      <c r="F14" s="40">
        <v>0.61297553806000005</v>
      </c>
      <c r="G14" s="40">
        <v>0.61297553806000005</v>
      </c>
      <c r="H14" s="41">
        <v>0.501</v>
      </c>
      <c r="I14" s="41">
        <v>0.501</v>
      </c>
      <c r="J14" s="41">
        <v>0.501</v>
      </c>
      <c r="K14" s="41">
        <v>0.501</v>
      </c>
      <c r="L14" s="41">
        <v>0.51500000000000001</v>
      </c>
      <c r="M14" s="41">
        <v>0.51500000000000001</v>
      </c>
      <c r="N14" s="41">
        <v>0.51500000000000001</v>
      </c>
      <c r="O14" s="41">
        <v>0.51500000000000001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0.33786897156502049</v>
      </c>
      <c r="D15" s="99">
        <f t="shared" si="0"/>
        <v>0.34076817839981055</v>
      </c>
      <c r="E15" s="99">
        <f t="shared" si="0"/>
        <v>0.34076817839981055</v>
      </c>
      <c r="F15" s="99">
        <f t="shared" si="0"/>
        <v>0.27815787858748098</v>
      </c>
      <c r="G15" s="99">
        <f t="shared" si="0"/>
        <v>0.27815787858748098</v>
      </c>
      <c r="H15" s="99">
        <f t="shared" si="0"/>
        <v>0.22734528300000001</v>
      </c>
      <c r="I15" s="99">
        <f t="shared" si="0"/>
        <v>0.22734528300000001</v>
      </c>
      <c r="J15" s="99">
        <f t="shared" si="0"/>
        <v>0.22734528300000001</v>
      </c>
      <c r="K15" s="99">
        <f t="shared" si="0"/>
        <v>0.22734528300000001</v>
      </c>
      <c r="L15" s="99">
        <f t="shared" si="0"/>
        <v>0.233698245</v>
      </c>
      <c r="M15" s="99">
        <f t="shared" si="0"/>
        <v>0.233698245</v>
      </c>
      <c r="N15" s="99">
        <f t="shared" si="0"/>
        <v>0.233698245</v>
      </c>
      <c r="O15" s="99">
        <f t="shared" si="0"/>
        <v>0.233698245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w6cq8WBQPG4V3O3oEQK8MovICXrKeuZiAJ5DbXmpf48olf+bDVv24KPVPAdLJnawceWP08xvLTNg4Y+pvQKJSw==" saltValue="CiQcIJtsPjF4LibalgYv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0.72369498014450107</v>
      </c>
      <c r="D2" s="39">
        <v>0.53397759999999994</v>
      </c>
      <c r="E2" s="39"/>
      <c r="F2" s="39"/>
      <c r="G2" s="39"/>
    </row>
    <row r="3" spans="1:7" x14ac:dyDescent="0.25">
      <c r="B3" s="78" t="s">
        <v>120</v>
      </c>
      <c r="C3" s="39">
        <v>0.10231136530637699</v>
      </c>
      <c r="D3" s="39">
        <v>0.20061619999999999</v>
      </c>
      <c r="E3" s="39"/>
      <c r="F3" s="39"/>
      <c r="G3" s="39"/>
    </row>
    <row r="4" spans="1:7" x14ac:dyDescent="0.25">
      <c r="B4" s="78" t="s">
        <v>121</v>
      </c>
      <c r="C4" s="39">
        <v>0.13583396375179299</v>
      </c>
      <c r="D4" s="39">
        <v>0.2202683</v>
      </c>
      <c r="E4" s="39">
        <v>0.92690545320510909</v>
      </c>
      <c r="F4" s="39">
        <v>0.79560357332229603</v>
      </c>
      <c r="G4" s="39"/>
    </row>
    <row r="5" spans="1:7" x14ac:dyDescent="0.25">
      <c r="B5" s="78" t="s">
        <v>122</v>
      </c>
      <c r="C5" s="100">
        <v>3.81596684455872E-2</v>
      </c>
      <c r="D5" s="100">
        <v>4.5137934386730201E-2</v>
      </c>
      <c r="E5" s="100">
        <f>1-E2-E3-E4</f>
        <v>7.3094546794890913E-2</v>
      </c>
      <c r="F5" s="100">
        <f>1-F2-F3-F4</f>
        <v>0.20439642667770397</v>
      </c>
      <c r="G5" s="100">
        <f>1-G2-G3-G4</f>
        <v>1</v>
      </c>
    </row>
  </sheetData>
  <sheetProtection algorithmName="SHA-512" hashValue="U/eS5v7EXSmAn00lfyjl9tBmHxRjgMnb8NecugK1krTq5/YkdxYj/DYAILZvXsoYcLRWrFQles/NKKedqqZ2PQ==" saltValue="XQM2gTttGm0dcEf0MOxgG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eEaq4hwW/7e1l0vgbDNS3fajfYElkaGLTQrhaGPWzfbsDZQA6uUfkYbekVlUjlGgels2B0wd9wD+0wcAuUqrEw==" saltValue="tMrFjEneTaTJqXNQIQdQt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ColWidth="8.88671875"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2LOBj/YpdhPHKw+5sgkLSzz2VLKrC3x/aNw1L8Ryv1vsmfbhBw9S3GiII73SlR0WhBuo5PwFCWEkyaHS0i9FUA==" saltValue="nzThz533uEgQeDoJWgS2q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poui83KaCBAoKYyXFS/EBJrduA72lo3izQaITvLoutcBuutY6Xaf0EMEYDdZP5CtZYUtsOsa4m4nsQ56ifyN1A==" saltValue="RHpP1NO8c7Y3zlqmzK+A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XHIUVwXG2IIwH1pYQNEOoouQVVv5UB2RghLIfz0GSfVSCAgUf0tXcaQIjxcFSK7CzBrJxKfLku1n2lMB2Itehg==" saltValue="VwWo/otmT96NRdsZ1OFK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2023-01-25T00:09:43Z</dcterms:modified>
</cp:coreProperties>
</file>