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13AFA89-C383-4A89-9C79-40FA747B473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<sst xmlns="http://schemas.openxmlformats.org/spreadsheetml/2006/main" count="2093" uniqueCount="335">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</sst>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1039740.7265625</v>
      </c>
    </row>
    <row r="8" spans="1:3" ht="15" customHeight="1" x14ac:dyDescent="0.25">
      <c r="B8" s="69" t="s">
        <v>8</v>
      </c>
      <c r="C8" s="32">
        <v>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0.65108238220214798</v>
      </c>
    </row>
    <row r="11" spans="1:3" ht="15" customHeight="1" x14ac:dyDescent="0.25">
      <c r="B11" s="69" t="s">
        <v>11</v>
      </c>
      <c r="C11" s="32">
        <v>0.94499999999999995</v>
      </c>
    </row>
    <row r="12" spans="1:3" ht="15" customHeight="1" x14ac:dyDescent="0.25">
      <c r="B12" s="69" t="s">
        <v>12</v>
      </c>
      <c r="C12" s="32">
        <v>0.77200000000000002</v>
      </c>
    </row>
    <row r="13" spans="1:3" ht="15" customHeight="1" x14ac:dyDescent="0.25">
      <c r="B13" s="69" t="s">
        <v>13</v>
      </c>
      <c r="C13" s="32">
        <v>0.42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3.9300000000000002E-2</v>
      </c>
    </row>
    <row r="24" spans="1:3" ht="15" customHeight="1" x14ac:dyDescent="0.25">
      <c r="B24" s="7" t="s">
        <v>22</v>
      </c>
      <c r="C24" s="33">
        <v>0.49590000000000001</v>
      </c>
    </row>
    <row r="25" spans="1:3" ht="15" customHeight="1" x14ac:dyDescent="0.25">
      <c r="B25" s="7" t="s">
        <v>23</v>
      </c>
      <c r="C25" s="33">
        <v>0.42020000000000002</v>
      </c>
    </row>
    <row r="26" spans="1:3" ht="15" customHeight="1" x14ac:dyDescent="0.25">
      <c r="B26" s="7" t="s">
        <v>24</v>
      </c>
      <c r="C26" s="33">
        <v>4.4600000000000001E-2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0.238749956298834</v>
      </c>
    </row>
    <row r="30" spans="1:3" ht="14.25" customHeight="1" x14ac:dyDescent="0.25">
      <c r="B30" s="15" t="s">
        <v>27</v>
      </c>
      <c r="C30" s="42">
        <v>0.11454702288442099</v>
      </c>
    </row>
    <row r="31" spans="1:3" ht="14.25" customHeight="1" x14ac:dyDescent="0.25">
      <c r="B31" s="15" t="s">
        <v>28</v>
      </c>
      <c r="C31" s="42">
        <v>0.128764880782018</v>
      </c>
    </row>
    <row r="32" spans="1:3" ht="14.25" customHeight="1" x14ac:dyDescent="0.25">
      <c r="B32" s="15" t="s">
        <v>29</v>
      </c>
      <c r="C32" s="42">
        <v>0.51793814003472693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9.19152994281567</v>
      </c>
    </row>
    <row r="38" spans="1:5" ht="15" customHeight="1" x14ac:dyDescent="0.25">
      <c r="B38" s="65" t="s">
        <v>34</v>
      </c>
      <c r="C38" s="94">
        <v>13.4086666338649</v>
      </c>
      <c r="D38" s="5"/>
      <c r="E38" s="6"/>
    </row>
    <row r="39" spans="1:5" ht="15" customHeight="1" x14ac:dyDescent="0.25">
      <c r="B39" s="65" t="s">
        <v>35</v>
      </c>
      <c r="C39" s="94">
        <v>15.586396466749299</v>
      </c>
      <c r="D39" s="5"/>
      <c r="E39" s="5"/>
    </row>
    <row r="40" spans="1:5" ht="15" customHeight="1" x14ac:dyDescent="0.25">
      <c r="B40" s="65" t="s">
        <v>36</v>
      </c>
      <c r="C40" s="94">
        <v>0.46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8.8371057369999999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3.2100700000000003E-2</v>
      </c>
      <c r="D45" s="5"/>
    </row>
    <row r="46" spans="1:5" ht="15.75" customHeight="1" x14ac:dyDescent="0.25">
      <c r="B46" s="65" t="s">
        <v>41</v>
      </c>
      <c r="C46" s="33">
        <v>0.11183029999999999</v>
      </c>
      <c r="D46" s="5"/>
    </row>
    <row r="47" spans="1:5" ht="15.75" customHeight="1" x14ac:dyDescent="0.25">
      <c r="B47" s="65" t="s">
        <v>42</v>
      </c>
      <c r="C47" s="33">
        <v>0.15652389999999999</v>
      </c>
      <c r="D47" s="5"/>
      <c r="E47" s="6"/>
    </row>
    <row r="48" spans="1:5" ht="15" customHeight="1" x14ac:dyDescent="0.25">
      <c r="B48" s="65" t="s">
        <v>43</v>
      </c>
      <c r="C48" s="97">
        <v>0.69954510000000003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0.60336800000000002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0.13782713999999999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0.71553177076660102</v>
      </c>
      <c r="C2" s="43">
        <v>0.95</v>
      </c>
      <c r="D2" s="86">
        <v>57.671699316737033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39.872112451281588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408.79375167203028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1.7882569301900479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0.22172682763281201</v>
      </c>
      <c r="C10" s="43">
        <v>0.95</v>
      </c>
      <c r="D10" s="86">
        <v>13.00441189507751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0.22172682763281201</v>
      </c>
      <c r="C11" s="43">
        <v>0.95</v>
      </c>
      <c r="D11" s="86">
        <v>13.00441189507751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0.22172682763281201</v>
      </c>
      <c r="C12" s="43">
        <v>0.95</v>
      </c>
      <c r="D12" s="86">
        <v>13.00441189507751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0.22172682763281201</v>
      </c>
      <c r="C13" s="43">
        <v>0.95</v>
      </c>
      <c r="D13" s="86">
        <v>13.00441189507751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0.22172682763281201</v>
      </c>
      <c r="C14" s="43">
        <v>0.95</v>
      </c>
      <c r="D14" s="86">
        <v>13.00441189507751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0.22172682763281201</v>
      </c>
      <c r="C15" s="43">
        <v>0.95</v>
      </c>
      <c r="D15" s="86">
        <v>13.00441189507751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0.71117769497285666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0.17</v>
      </c>
      <c r="C18" s="43">
        <v>0.95</v>
      </c>
      <c r="D18" s="86">
        <v>9.4258488463818431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9.4258488463818431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0.98062332149999998</v>
      </c>
      <c r="C21" s="43">
        <v>0.95</v>
      </c>
      <c r="D21" s="86">
        <v>14.27197697883391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22.437389594385149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4.2744829442771808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0.247880982585448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0.17293307586523399</v>
      </c>
      <c r="C27" s="43">
        <v>0.95</v>
      </c>
      <c r="D27" s="86">
        <v>18.562456349760499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0.97339754139276191</v>
      </c>
      <c r="C29" s="43">
        <v>0.95</v>
      </c>
      <c r="D29" s="86">
        <v>112.8316060439912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0.58382274568755699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0.308</v>
      </c>
      <c r="C32" s="43">
        <v>0.95</v>
      </c>
      <c r="D32" s="86">
        <v>1.5262120255615981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3.6749216103589899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0.87847873442954905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7.0148817449808235E-2</v>
      </c>
      <c r="C3" s="13">
        <f>frac_mam_1_5months * 2.6</f>
        <v>7.0148817449808235E-2</v>
      </c>
      <c r="D3" s="13">
        <f>frac_mam_6_11months * 2.6</f>
        <v>2.7547737024724545E-2</v>
      </c>
      <c r="E3" s="13">
        <f>frac_mam_12_23months * 2.6</f>
        <v>3.173911180347206E-2</v>
      </c>
      <c r="F3" s="13">
        <f>frac_mam_24_59months * 2.6</f>
        <v>5.0128158926963783E-2</v>
      </c>
    </row>
    <row r="4" spans="1:6" ht="15.75" customHeight="1" x14ac:dyDescent="0.25">
      <c r="A4" s="78" t="s">
        <v>204</v>
      </c>
      <c r="B4" s="13">
        <f>frac_sam_1month * 2.6</f>
        <v>6.2171591073274544E-2</v>
      </c>
      <c r="C4" s="13">
        <f>frac_sam_1_5months * 2.6</f>
        <v>6.2171591073274544E-2</v>
      </c>
      <c r="D4" s="13">
        <f>frac_sam_6_11months * 2.6</f>
        <v>2.5362354703247637E-2</v>
      </c>
      <c r="E4" s="13">
        <f>frac_sam_12_23months * 2.6</f>
        <v>1.5537999197840602E-2</v>
      </c>
      <c r="F4" s="13">
        <f>frac_sam_24_59months * 2.6</f>
        <v>1.0299993865191941E-2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1E-3</v>
      </c>
      <c r="E2" s="47">
        <f>food_insecure</f>
        <v>1E-3</v>
      </c>
      <c r="F2" s="47">
        <f>food_insecure</f>
        <v>1E-3</v>
      </c>
      <c r="G2" s="47">
        <f>food_insecure</f>
        <v>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1E-3</v>
      </c>
      <c r="F5" s="47">
        <f>food_insecure</f>
        <v>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1E-3</v>
      </c>
      <c r="F8" s="47">
        <f>food_insecure</f>
        <v>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1E-3</v>
      </c>
      <c r="F9" s="47">
        <f>food_insecure</f>
        <v>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0.77200000000000002</v>
      </c>
      <c r="E10" s="47">
        <f>IF(ISBLANK(comm_deliv), frac_children_health_facility,1)</f>
        <v>0.77200000000000002</v>
      </c>
      <c r="F10" s="47">
        <f>IF(ISBLANK(comm_deliv), frac_children_health_facility,1)</f>
        <v>0.77200000000000002</v>
      </c>
      <c r="G10" s="47">
        <f>IF(ISBLANK(comm_deliv), frac_children_health_facility,1)</f>
        <v>0.77200000000000002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1E-3</v>
      </c>
      <c r="I15" s="47">
        <f>food_insecure</f>
        <v>1E-3</v>
      </c>
      <c r="J15" s="47">
        <f>food_insecure</f>
        <v>1E-3</v>
      </c>
      <c r="K15" s="47">
        <f>food_insecure</f>
        <v>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0.94499999999999995</v>
      </c>
      <c r="I18" s="47">
        <f>frac_PW_health_facility</f>
        <v>0.94499999999999995</v>
      </c>
      <c r="J18" s="47">
        <f>frac_PW_health_facility</f>
        <v>0.94499999999999995</v>
      </c>
      <c r="K18" s="47">
        <f>frac_PW_health_facility</f>
        <v>0.94499999999999995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0.42</v>
      </c>
      <c r="M24" s="47">
        <f>famplan_unmet_need</f>
        <v>0.42</v>
      </c>
      <c r="N24" s="47">
        <f>famplan_unmet_need</f>
        <v>0.42</v>
      </c>
      <c r="O24" s="47">
        <f>famplan_unmet_need</f>
        <v>0.42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0.17104290542068504</v>
      </c>
      <c r="M25" s="47">
        <f>(1-food_insecure)*(0.49)+food_insecure*(0.7)</f>
        <v>0.49020999999999998</v>
      </c>
      <c r="N25" s="47">
        <f>(1-food_insecure)*(0.49)+food_insecure*(0.7)</f>
        <v>0.49020999999999998</v>
      </c>
      <c r="O25" s="47">
        <f>(1-food_insecure)*(0.49)+food_insecure*(0.7)</f>
        <v>0.49020999999999998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7.3304102323150738E-2</v>
      </c>
      <c r="M26" s="47">
        <f>(1-food_insecure)*(0.21)+food_insecure*(0.3)</f>
        <v>0.21009</v>
      </c>
      <c r="N26" s="47">
        <f>(1-food_insecure)*(0.21)+food_insecure*(0.3)</f>
        <v>0.21009</v>
      </c>
      <c r="O26" s="47">
        <f>(1-food_insecure)*(0.21)+food_insecure*(0.3)</f>
        <v>0.21009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0.10457061005401624</v>
      </c>
      <c r="M27" s="47">
        <f>(1-food_insecure)*(0.3)</f>
        <v>0.29969999999999997</v>
      </c>
      <c r="N27" s="47">
        <f>(1-food_insecure)*(0.3)</f>
        <v>0.29969999999999997</v>
      </c>
      <c r="O27" s="47">
        <f>(1-food_insecure)*(0.3)</f>
        <v>0.29969999999999997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0.65108238220214798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245958.62400000001</v>
      </c>
      <c r="C2" s="37">
        <v>496000</v>
      </c>
      <c r="D2" s="37">
        <v>874000</v>
      </c>
      <c r="E2" s="37">
        <v>727000</v>
      </c>
      <c r="F2" s="37">
        <v>557000</v>
      </c>
      <c r="G2" s="9">
        <f t="shared" ref="G2:G40" si="0">C2+D2+E2+F2</f>
        <v>2654000</v>
      </c>
      <c r="H2" s="9">
        <f t="shared" ref="H2:H40" si="1">(B2 + stillbirth*B2/(1000-stillbirth))/(1-abortion)</f>
        <v>281990.41548207204</v>
      </c>
      <c r="I2" s="9">
        <f t="shared" ref="I2:I40" si="2">G2-H2</f>
        <v>2372009.5845179278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243522.78200000001</v>
      </c>
      <c r="C3" s="37">
        <v>499000</v>
      </c>
      <c r="D3" s="37">
        <v>877000</v>
      </c>
      <c r="E3" s="37">
        <v>731000</v>
      </c>
      <c r="F3" s="37">
        <v>568000</v>
      </c>
      <c r="G3" s="9">
        <f t="shared" si="0"/>
        <v>2675000</v>
      </c>
      <c r="H3" s="9">
        <f t="shared" si="1"/>
        <v>279197.73398768913</v>
      </c>
      <c r="I3" s="9">
        <f t="shared" si="2"/>
        <v>2395802.266012311</v>
      </c>
    </row>
    <row r="4" spans="1:9" ht="15.75" customHeight="1" x14ac:dyDescent="0.25">
      <c r="A4" s="69">
        <f t="shared" si="3"/>
        <v>2023</v>
      </c>
      <c r="B4" s="36">
        <v>240646.4344</v>
      </c>
      <c r="C4" s="37">
        <v>502000</v>
      </c>
      <c r="D4" s="37">
        <v>878000</v>
      </c>
      <c r="E4" s="37">
        <v>733000</v>
      </c>
      <c r="F4" s="37">
        <v>578000</v>
      </c>
      <c r="G4" s="9">
        <f t="shared" si="0"/>
        <v>2691000</v>
      </c>
      <c r="H4" s="9">
        <f t="shared" si="1"/>
        <v>275900.01487703552</v>
      </c>
      <c r="I4" s="9">
        <f t="shared" si="2"/>
        <v>2415099.9851229647</v>
      </c>
    </row>
    <row r="5" spans="1:9" ht="15.75" customHeight="1" x14ac:dyDescent="0.25">
      <c r="A5" s="69">
        <f t="shared" si="3"/>
        <v>2024</v>
      </c>
      <c r="B5" s="36">
        <v>237620.72519999999</v>
      </c>
      <c r="C5" s="37">
        <v>504000</v>
      </c>
      <c r="D5" s="37">
        <v>879000</v>
      </c>
      <c r="E5" s="37">
        <v>734000</v>
      </c>
      <c r="F5" s="37">
        <v>588000</v>
      </c>
      <c r="G5" s="9">
        <f t="shared" si="0"/>
        <v>2705000</v>
      </c>
      <c r="H5" s="9">
        <f t="shared" si="1"/>
        <v>272431.05338847259</v>
      </c>
      <c r="I5" s="9">
        <f t="shared" si="2"/>
        <v>2432568.9466115274</v>
      </c>
    </row>
    <row r="6" spans="1:9" ht="15.75" customHeight="1" x14ac:dyDescent="0.25">
      <c r="A6" s="69">
        <f t="shared" si="3"/>
        <v>2025</v>
      </c>
      <c r="B6" s="36">
        <v>234671.98</v>
      </c>
      <c r="C6" s="37">
        <v>507000</v>
      </c>
      <c r="D6" s="37">
        <v>882000</v>
      </c>
      <c r="E6" s="37">
        <v>737000</v>
      </c>
      <c r="F6" s="37">
        <v>597000</v>
      </c>
      <c r="G6" s="9">
        <f t="shared" si="0"/>
        <v>2723000</v>
      </c>
      <c r="H6" s="9">
        <f t="shared" si="1"/>
        <v>269050.3307670175</v>
      </c>
      <c r="I6" s="9">
        <f t="shared" si="2"/>
        <v>2453949.6692329827</v>
      </c>
    </row>
    <row r="7" spans="1:9" ht="15.75" customHeight="1" x14ac:dyDescent="0.25">
      <c r="A7" s="69">
        <f t="shared" si="3"/>
        <v>2026</v>
      </c>
      <c r="B7" s="36">
        <v>232946.60399999999</v>
      </c>
      <c r="C7" s="37">
        <v>511000</v>
      </c>
      <c r="D7" s="37">
        <v>887000</v>
      </c>
      <c r="E7" s="37">
        <v>741000</v>
      </c>
      <c r="F7" s="37">
        <v>607000</v>
      </c>
      <c r="G7" s="9">
        <f t="shared" si="0"/>
        <v>2746000</v>
      </c>
      <c r="H7" s="9">
        <f t="shared" si="1"/>
        <v>267072.19522864826</v>
      </c>
      <c r="I7" s="9">
        <f t="shared" si="2"/>
        <v>2478927.8047713516</v>
      </c>
    </row>
    <row r="8" spans="1:9" ht="15.75" customHeight="1" x14ac:dyDescent="0.25">
      <c r="A8" s="69">
        <f t="shared" si="3"/>
        <v>2027</v>
      </c>
      <c r="B8" s="36">
        <v>231424.416</v>
      </c>
      <c r="C8" s="37">
        <v>515000</v>
      </c>
      <c r="D8" s="37">
        <v>892000</v>
      </c>
      <c r="E8" s="37">
        <v>746000</v>
      </c>
      <c r="F8" s="37">
        <v>617000</v>
      </c>
      <c r="G8" s="9">
        <f t="shared" si="0"/>
        <v>2770000</v>
      </c>
      <c r="H8" s="9">
        <f t="shared" si="1"/>
        <v>265327.01378478954</v>
      </c>
      <c r="I8" s="9">
        <f t="shared" si="2"/>
        <v>2504672.9862152105</v>
      </c>
    </row>
    <row r="9" spans="1:9" ht="15.75" customHeight="1" x14ac:dyDescent="0.25">
      <c r="A9" s="69">
        <f t="shared" si="3"/>
        <v>2028</v>
      </c>
      <c r="B9" s="36">
        <v>230051.25</v>
      </c>
      <c r="C9" s="37">
        <v>520000</v>
      </c>
      <c r="D9" s="37">
        <v>899000</v>
      </c>
      <c r="E9" s="37">
        <v>752000</v>
      </c>
      <c r="F9" s="37">
        <v>627000</v>
      </c>
      <c r="G9" s="9">
        <f t="shared" si="0"/>
        <v>2798000</v>
      </c>
      <c r="H9" s="9">
        <f t="shared" si="1"/>
        <v>263752.68536902376</v>
      </c>
      <c r="I9" s="9">
        <f t="shared" si="2"/>
        <v>2534247.3146309764</v>
      </c>
    </row>
    <row r="10" spans="1:9" ht="15.75" customHeight="1" x14ac:dyDescent="0.25">
      <c r="A10" s="69">
        <f t="shared" si="3"/>
        <v>2029</v>
      </c>
      <c r="B10" s="36">
        <v>228775.58799999999</v>
      </c>
      <c r="C10" s="37">
        <v>523000</v>
      </c>
      <c r="D10" s="37">
        <v>909000</v>
      </c>
      <c r="E10" s="37">
        <v>759000</v>
      </c>
      <c r="F10" s="37">
        <v>637000</v>
      </c>
      <c r="G10" s="9">
        <f t="shared" si="0"/>
        <v>2828000</v>
      </c>
      <c r="H10" s="9">
        <f t="shared" si="1"/>
        <v>262290.14483458537</v>
      </c>
      <c r="I10" s="9">
        <f t="shared" si="2"/>
        <v>2565709.8551654145</v>
      </c>
    </row>
    <row r="11" spans="1:9" ht="15.75" customHeight="1" x14ac:dyDescent="0.25">
      <c r="A11" s="69">
        <f t="shared" si="3"/>
        <v>2030</v>
      </c>
      <c r="B11" s="36">
        <v>227589.486</v>
      </c>
      <c r="C11" s="37">
        <v>525000</v>
      </c>
      <c r="D11" s="37">
        <v>919000</v>
      </c>
      <c r="E11" s="37">
        <v>766000</v>
      </c>
      <c r="F11" s="37">
        <v>646000</v>
      </c>
      <c r="G11" s="9">
        <f t="shared" si="0"/>
        <v>2856000</v>
      </c>
      <c r="H11" s="9">
        <f t="shared" si="1"/>
        <v>260930.28442251819</v>
      </c>
      <c r="I11" s="9">
        <f t="shared" si="2"/>
        <v>2595069.7155774818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2957957.9691572259</v>
      </c>
      <c r="I12" s="9">
        <f t="shared" si="2"/>
        <v>15625711.030842774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3015282.7360013584</v>
      </c>
      <c r="I13" s="9">
        <f t="shared" si="2"/>
        <v>16159297.263998643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3084072.4562143171</v>
      </c>
      <c r="I14" s="9">
        <f t="shared" si="2"/>
        <v>16692183.543785684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3141397.2230584491</v>
      </c>
      <c r="I15" s="9">
        <f t="shared" si="2"/>
        <v>17245330.776941553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9.3919396814947223E-2</v>
      </c>
    </row>
    <row r="5" spans="1:8" ht="15.75" customHeight="1" x14ac:dyDescent="0.25">
      <c r="B5" s="11" t="s">
        <v>70</v>
      </c>
      <c r="C5" s="38">
        <v>3.6280150732841909E-2</v>
      </c>
    </row>
    <row r="6" spans="1:8" ht="15.75" customHeight="1" x14ac:dyDescent="0.25">
      <c r="B6" s="11" t="s">
        <v>71</v>
      </c>
      <c r="C6" s="38">
        <v>0.11770533440942441</v>
      </c>
    </row>
    <row r="7" spans="1:8" ht="15.75" customHeight="1" x14ac:dyDescent="0.25">
      <c r="B7" s="11" t="s">
        <v>72</v>
      </c>
      <c r="C7" s="38">
        <v>0.40041615629285371</v>
      </c>
    </row>
    <row r="8" spans="1:8" ht="15.75" customHeight="1" x14ac:dyDescent="0.25">
      <c r="B8" s="11" t="s">
        <v>73</v>
      </c>
      <c r="C8" s="38">
        <v>4.8353703706277276E-3</v>
      </c>
    </row>
    <row r="9" spans="1:8" ht="15.75" customHeight="1" x14ac:dyDescent="0.25">
      <c r="B9" s="11" t="s">
        <v>74</v>
      </c>
      <c r="C9" s="38">
        <v>0.2379124981177804</v>
      </c>
    </row>
    <row r="10" spans="1:8" ht="15.75" customHeight="1" x14ac:dyDescent="0.25">
      <c r="B10" s="11" t="s">
        <v>75</v>
      </c>
      <c r="C10" s="38">
        <v>0.1089310932615245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7.3110930720692524E-2</v>
      </c>
      <c r="D14" s="38">
        <v>7.3110930720692524E-2</v>
      </c>
      <c r="E14" s="38">
        <v>7.3110930720692524E-2</v>
      </c>
      <c r="F14" s="38">
        <v>7.3110930720692524E-2</v>
      </c>
    </row>
    <row r="15" spans="1:8" ht="15.75" customHeight="1" x14ac:dyDescent="0.25">
      <c r="B15" s="11" t="s">
        <v>82</v>
      </c>
      <c r="C15" s="38">
        <v>0.17712435414531921</v>
      </c>
      <c r="D15" s="38">
        <v>0.17712435414531921</v>
      </c>
      <c r="E15" s="38">
        <v>0.17712435414531921</v>
      </c>
      <c r="F15" s="38">
        <v>0.17712435414531921</v>
      </c>
    </row>
    <row r="16" spans="1:8" ht="15.75" customHeight="1" x14ac:dyDescent="0.25">
      <c r="B16" s="11" t="s">
        <v>83</v>
      </c>
      <c r="C16" s="38">
        <v>2.7825996609255329E-2</v>
      </c>
      <c r="D16" s="38">
        <v>2.7825996609255329E-2</v>
      </c>
      <c r="E16" s="38">
        <v>2.7825996609255329E-2</v>
      </c>
      <c r="F16" s="38">
        <v>2.7825996609255329E-2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2.1084080329908009E-2</v>
      </c>
      <c r="D19" s="38">
        <v>2.1084080329908009E-2</v>
      </c>
      <c r="E19" s="38">
        <v>2.1084080329908009E-2</v>
      </c>
      <c r="F19" s="38">
        <v>2.1084080329908009E-2</v>
      </c>
    </row>
    <row r="20" spans="1:8" ht="15.75" customHeight="1" x14ac:dyDescent="0.25">
      <c r="B20" s="11" t="s">
        <v>87</v>
      </c>
      <c r="C20" s="38">
        <v>1.8795347347114969E-3</v>
      </c>
      <c r="D20" s="38">
        <v>1.8795347347114969E-3</v>
      </c>
      <c r="E20" s="38">
        <v>1.8795347347114969E-3</v>
      </c>
      <c r="F20" s="38">
        <v>1.8795347347114969E-3</v>
      </c>
    </row>
    <row r="21" spans="1:8" ht="15.75" customHeight="1" x14ac:dyDescent="0.25">
      <c r="B21" s="11" t="s">
        <v>88</v>
      </c>
      <c r="C21" s="38">
        <v>0.19892485696121329</v>
      </c>
      <c r="D21" s="38">
        <v>0.19892485696121329</v>
      </c>
      <c r="E21" s="38">
        <v>0.19892485696121329</v>
      </c>
      <c r="F21" s="38">
        <v>0.19892485696121329</v>
      </c>
    </row>
    <row r="22" spans="1:8" ht="15.75" customHeight="1" x14ac:dyDescent="0.25">
      <c r="B22" s="11" t="s">
        <v>89</v>
      </c>
      <c r="C22" s="38">
        <v>0.50005024649890017</v>
      </c>
      <c r="D22" s="38">
        <v>0.50005024649890017</v>
      </c>
      <c r="E22" s="38">
        <v>0.50005024649890017</v>
      </c>
      <c r="F22" s="38">
        <v>0.50005024649890017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0.109226406</v>
      </c>
    </row>
    <row r="27" spans="1:8" ht="15.75" customHeight="1" x14ac:dyDescent="0.25">
      <c r="B27" s="11" t="s">
        <v>92</v>
      </c>
      <c r="C27" s="38">
        <v>1.7615203999999999E-2</v>
      </c>
    </row>
    <row r="28" spans="1:8" ht="15.75" customHeight="1" x14ac:dyDescent="0.25">
      <c r="B28" s="11" t="s">
        <v>93</v>
      </c>
      <c r="C28" s="38">
        <v>3.5403469E-2</v>
      </c>
    </row>
    <row r="29" spans="1:8" ht="15.75" customHeight="1" x14ac:dyDescent="0.25">
      <c r="B29" s="11" t="s">
        <v>94</v>
      </c>
      <c r="C29" s="38">
        <v>8.1855017000000002E-2</v>
      </c>
    </row>
    <row r="30" spans="1:8" ht="15.75" customHeight="1" x14ac:dyDescent="0.25">
      <c r="B30" s="11" t="s">
        <v>95</v>
      </c>
      <c r="C30" s="38">
        <v>6.7261675000000007E-2</v>
      </c>
    </row>
    <row r="31" spans="1:8" ht="15.75" customHeight="1" x14ac:dyDescent="0.25">
      <c r="B31" s="11" t="s">
        <v>96</v>
      </c>
      <c r="C31" s="38">
        <v>2.8928879000000001E-2</v>
      </c>
    </row>
    <row r="32" spans="1:8" ht="15.75" customHeight="1" x14ac:dyDescent="0.25">
      <c r="B32" s="11" t="s">
        <v>97</v>
      </c>
      <c r="C32" s="38">
        <v>0.23338838200000001</v>
      </c>
    </row>
    <row r="33" spans="2:3" ht="15.75" customHeight="1" x14ac:dyDescent="0.25">
      <c r="B33" s="11" t="s">
        <v>98</v>
      </c>
      <c r="C33" s="38">
        <v>0.13208631300000001</v>
      </c>
    </row>
    <row r="34" spans="2:3" ht="15.75" customHeight="1" x14ac:dyDescent="0.25">
      <c r="B34" s="11" t="s">
        <v>99</v>
      </c>
      <c r="C34" s="38">
        <v>0.29423465599999998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0.63376882748716545</v>
      </c>
      <c r="D2" s="99">
        <f>IFERROR(1-_xlfn.NORM.DIST(_xlfn.NORM.INV(SUM(D4:D5), 0, 1) + 1, 0, 1, TRUE), "")</f>
        <v>0.63376882748716545</v>
      </c>
      <c r="E2" s="99">
        <f>IFERROR(1-_xlfn.NORM.DIST(_xlfn.NORM.INV(SUM(E4:E5), 0, 1) + 1, 0, 1, TRUE), "")</f>
        <v>0.66632413446972893</v>
      </c>
      <c r="F2" s="99">
        <f>IFERROR(1-_xlfn.NORM.DIST(_xlfn.NORM.INV(SUM(F4:F5), 0, 1) + 1, 0, 1, TRUE), "")</f>
        <v>0.59653395887931282</v>
      </c>
      <c r="G2" s="99">
        <f>IFERROR(1-_xlfn.NORM.DIST(_xlfn.NORM.INV(SUM(G4:G5), 0, 1) + 1, 0, 1, TRUE), "")</f>
        <v>0.69260694461751826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0.27640916330701643</v>
      </c>
      <c r="D3" s="99">
        <f>IFERROR(_xlfn.NORM.DIST(_xlfn.NORM.INV(SUM(D4:D5), 0, 1) + 1, 0, 1, TRUE) - SUM(D4:D5), "")</f>
        <v>0.27640916330701643</v>
      </c>
      <c r="E3" s="99">
        <f>IFERROR(_xlfn.NORM.DIST(_xlfn.NORM.INV(SUM(E4:E5), 0, 1) + 1, 0, 1, TRUE) - SUM(E4:E5), "")</f>
        <v>0.25728655977104964</v>
      </c>
      <c r="F3" s="99">
        <f>IFERROR(_xlfn.NORM.DIST(_xlfn.NORM.INV(SUM(F4:F5), 0, 1) + 1, 0, 1, TRUE) - SUM(F4:F5), "")</f>
        <v>0.29678722742477959</v>
      </c>
      <c r="G3" s="99">
        <f>IFERROR(_xlfn.NORM.DIST(_xlfn.NORM.INV(SUM(G4:G5), 0, 1) + 1, 0, 1, TRUE) - SUM(G4:G5), "")</f>
        <v>0.24100620203774326</v>
      </c>
    </row>
    <row r="4" spans="1:15" ht="15.75" customHeight="1" x14ac:dyDescent="0.25">
      <c r="B4" s="69" t="s">
        <v>104</v>
      </c>
      <c r="C4" s="39">
        <v>7.1541570127010304E-2</v>
      </c>
      <c r="D4" s="39">
        <v>7.1541570127010304E-2</v>
      </c>
      <c r="E4" s="39">
        <v>7.2694912552833599E-2</v>
      </c>
      <c r="F4" s="39">
        <v>8.1473901867866502E-2</v>
      </c>
      <c r="G4" s="39">
        <v>5.2827265113592113E-2</v>
      </c>
    </row>
    <row r="5" spans="1:15" ht="15.75" customHeight="1" x14ac:dyDescent="0.25">
      <c r="B5" s="69" t="s">
        <v>105</v>
      </c>
      <c r="C5" s="39">
        <v>1.82804390788078E-2</v>
      </c>
      <c r="D5" s="39">
        <v>1.82804390788078E-2</v>
      </c>
      <c r="E5" s="39">
        <v>3.6943932063877999E-3</v>
      </c>
      <c r="F5" s="39">
        <v>2.5204911828041101E-2</v>
      </c>
      <c r="G5" s="39">
        <v>1.3559588231146299E-2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0.73769691006147964</v>
      </c>
      <c r="D8" s="99">
        <f>IFERROR(1-_xlfn.NORM.DIST(_xlfn.NORM.INV(SUM(D10:D11), 0, 1) + 1, 0, 1, TRUE), "")</f>
        <v>0.73769691006147964</v>
      </c>
      <c r="E8" s="99">
        <f>IFERROR(1-_xlfn.NORM.DIST(_xlfn.NORM.INV(SUM(E10:E11), 0, 1) + 1, 0, 1, TRUE), "")</f>
        <v>0.85235162032442657</v>
      </c>
      <c r="F8" s="99">
        <f>IFERROR(1-_xlfn.NORM.DIST(_xlfn.NORM.INV(SUM(F10:F11), 0, 1) + 1, 0, 1, TRUE), "")</f>
        <v>0.86275919745338903</v>
      </c>
      <c r="G8" s="99">
        <f>IFERROR(1-_xlfn.NORM.DIST(_xlfn.NORM.INV(SUM(G10:G11), 0, 1) + 1, 0, 1, TRUE), "")</f>
        <v>0.83915208614936976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0.21141062512195014</v>
      </c>
      <c r="D9" s="99">
        <f>IFERROR(_xlfn.NORM.DIST(_xlfn.NORM.INV(SUM(D10:D11), 0, 1) + 1, 0, 1, TRUE) - SUM(D10:D11), "")</f>
        <v>0.21141062512195014</v>
      </c>
      <c r="E9" s="99">
        <f>IFERROR(_xlfn.NORM.DIST(_xlfn.NORM.INV(SUM(E10:E11), 0, 1) + 1, 0, 1, TRUE) - SUM(E10:E11), "")</f>
        <v>0.12729834439558413</v>
      </c>
      <c r="F9" s="99">
        <f>IFERROR(_xlfn.NORM.DIST(_xlfn.NORM.INV(SUM(F10:F11), 0, 1) + 1, 0, 1, TRUE) - SUM(F10:F11), "")</f>
        <v>0.11905729831533682</v>
      </c>
      <c r="G9" s="99">
        <f>IFERROR(_xlfn.NORM.DIST(_xlfn.NORM.INV(SUM(G10:G11), 0, 1) + 1, 0, 1, TRUE) - SUM(G10:G11), "")</f>
        <v>0.13760631662287809</v>
      </c>
    </row>
    <row r="10" spans="1:15" ht="15.75" customHeight="1" x14ac:dyDescent="0.25">
      <c r="B10" s="69" t="s">
        <v>109</v>
      </c>
      <c r="C10" s="39">
        <v>2.6980314403772399E-2</v>
      </c>
      <c r="D10" s="39">
        <v>2.6980314403772399E-2</v>
      </c>
      <c r="E10" s="39">
        <v>1.0595283471047901E-2</v>
      </c>
      <c r="F10" s="39">
        <v>1.22073506936431E-2</v>
      </c>
      <c r="G10" s="39">
        <v>1.92800611257553E-2</v>
      </c>
    </row>
    <row r="11" spans="1:15" ht="15.75" customHeight="1" x14ac:dyDescent="0.25">
      <c r="B11" s="69" t="s">
        <v>110</v>
      </c>
      <c r="C11" s="39">
        <v>2.39121504127979E-2</v>
      </c>
      <c r="D11" s="39">
        <v>2.39121504127979E-2</v>
      </c>
      <c r="E11" s="39">
        <v>9.754751808941399E-3</v>
      </c>
      <c r="F11" s="39">
        <v>5.9761535376310002E-3</v>
      </c>
      <c r="G11" s="39">
        <v>3.9615361019969004E-3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0.58996669749999997</v>
      </c>
      <c r="D14" s="40">
        <v>0.58808578352899998</v>
      </c>
      <c r="E14" s="40">
        <v>0.58808578352899998</v>
      </c>
      <c r="F14" s="40">
        <v>0.294560960915</v>
      </c>
      <c r="G14" s="40">
        <v>0.294560960915</v>
      </c>
      <c r="H14" s="41">
        <v>0.371</v>
      </c>
      <c r="I14" s="41">
        <v>0.371</v>
      </c>
      <c r="J14" s="41">
        <v>0.371</v>
      </c>
      <c r="K14" s="41">
        <v>0.371</v>
      </c>
      <c r="L14" s="41">
        <v>0.34499999999999997</v>
      </c>
      <c r="M14" s="41">
        <v>0.34499999999999997</v>
      </c>
      <c r="N14" s="41">
        <v>0.34499999999999997</v>
      </c>
      <c r="O14" s="41">
        <v>0.34499999999999997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0.35596702633717997</v>
      </c>
      <c r="D15" s="99">
        <f t="shared" si="0"/>
        <v>0.35483214303632565</v>
      </c>
      <c r="E15" s="99">
        <f t="shared" si="0"/>
        <v>0.35483214303632565</v>
      </c>
      <c r="F15" s="99">
        <f t="shared" si="0"/>
        <v>0.17772865786536174</v>
      </c>
      <c r="G15" s="99">
        <f t="shared" si="0"/>
        <v>0.17772865786536174</v>
      </c>
      <c r="H15" s="99">
        <f t="shared" si="0"/>
        <v>0.22384952799999999</v>
      </c>
      <c r="I15" s="99">
        <f t="shared" si="0"/>
        <v>0.22384952799999999</v>
      </c>
      <c r="J15" s="99">
        <f t="shared" si="0"/>
        <v>0.22384952799999999</v>
      </c>
      <c r="K15" s="99">
        <f t="shared" si="0"/>
        <v>0.22384952799999999</v>
      </c>
      <c r="L15" s="99">
        <f t="shared" si="0"/>
        <v>0.20816195999999998</v>
      </c>
      <c r="M15" s="99">
        <f t="shared" si="0"/>
        <v>0.20816195999999998</v>
      </c>
      <c r="N15" s="99">
        <f t="shared" si="0"/>
        <v>0.20816195999999998</v>
      </c>
      <c r="O15" s="99">
        <f t="shared" si="0"/>
        <v>0.20816195999999998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0.42756035923957803</v>
      </c>
      <c r="D2" s="39">
        <v>0.2062329</v>
      </c>
      <c r="E2" s="39"/>
      <c r="F2" s="39"/>
      <c r="G2" s="39"/>
    </row>
    <row r="3" spans="1:7" x14ac:dyDescent="0.25">
      <c r="B3" s="78" t="s">
        <v>120</v>
      </c>
      <c r="C3" s="39">
        <v>0.10077443718910201</v>
      </c>
      <c r="D3" s="39">
        <v>0.1128769</v>
      </c>
      <c r="E3" s="39"/>
      <c r="F3" s="39"/>
      <c r="G3" s="39"/>
    </row>
    <row r="4" spans="1:7" x14ac:dyDescent="0.25">
      <c r="B4" s="78" t="s">
        <v>121</v>
      </c>
      <c r="C4" s="39">
        <v>0.369465261697769</v>
      </c>
      <c r="D4" s="39">
        <v>0.46366649999999998</v>
      </c>
      <c r="E4" s="39">
        <v>0.54610043764114402</v>
      </c>
      <c r="F4" s="39">
        <v>0.26147621870040899</v>
      </c>
      <c r="G4" s="39"/>
    </row>
    <row r="5" spans="1:7" x14ac:dyDescent="0.25">
      <c r="B5" s="78" t="s">
        <v>122</v>
      </c>
      <c r="C5" s="100">
        <v>0.10219993442297</v>
      </c>
      <c r="D5" s="100">
        <v>0.21722365915775299</v>
      </c>
      <c r="E5" s="100">
        <f>1-E2-E3-E4</f>
        <v>0.45389956235885598</v>
      </c>
      <c r="F5" s="100">
        <f>1-F2-F3-F4</f>
        <v>0.73852378129959106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2023-01-25T00:09:56Z</dcterms:modified>
</cp:coreProperties>
</file>