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A0BFB549-F07C-4AC0-B11C-F08497F7D4A4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C33" i="1"/>
  <c r="C20" i="1"/>
  <c r="D58" i="20" l="1"/>
  <c r="A4" i="2"/>
  <c r="A5" i="2" s="1"/>
  <c r="A6" i="2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<sst xmlns="http://schemas.openxmlformats.org/spreadsheetml/2006/main" count="2093" uniqueCount="335">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</sst>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35019.31469726564</v>
      </c>
    </row>
    <row r="8" spans="1:3" ht="15" customHeight="1" x14ac:dyDescent="0.25">
      <c r="B8" s="69" t="s">
        <v>8</v>
      </c>
      <c r="C8" s="32">
        <v>0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0.59512580869999998</v>
      </c>
    </row>
    <row r="11" spans="1:3" ht="15" customHeight="1" x14ac:dyDescent="0.25">
      <c r="B11" s="69" t="s">
        <v>11</v>
      </c>
      <c r="C11" s="32">
        <v>0.85099999999999998</v>
      </c>
    </row>
    <row r="12" spans="1:3" ht="15" customHeight="1" x14ac:dyDescent="0.25">
      <c r="B12" s="69" t="s">
        <v>12</v>
      </c>
      <c r="C12" s="32">
        <v>0.74099999999999999</v>
      </c>
    </row>
    <row r="13" spans="1:3" ht="15" customHeight="1" x14ac:dyDescent="0.25">
      <c r="B13" s="69" t="s">
        <v>13</v>
      </c>
      <c r="C13" s="32">
        <v>0.57299999999999995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4.9799999999999997E-2</v>
      </c>
    </row>
    <row r="24" spans="1:3" ht="15" customHeight="1" x14ac:dyDescent="0.25">
      <c r="B24" s="7" t="s">
        <v>22</v>
      </c>
      <c r="C24" s="33">
        <v>0.55979999999999996</v>
      </c>
    </row>
    <row r="25" spans="1:3" ht="15" customHeight="1" x14ac:dyDescent="0.25">
      <c r="B25" s="7" t="s">
        <v>23</v>
      </c>
      <c r="C25" s="33">
        <v>0.36509999999999998</v>
      </c>
    </row>
    <row r="26" spans="1:3" ht="15" customHeight="1" x14ac:dyDescent="0.25">
      <c r="B26" s="7" t="s">
        <v>24</v>
      </c>
      <c r="C26" s="33">
        <v>2.53E-2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0.41896057377486201</v>
      </c>
    </row>
    <row r="30" spans="1:3" ht="14.25" customHeight="1" x14ac:dyDescent="0.25">
      <c r="B30" s="15" t="s">
        <v>27</v>
      </c>
      <c r="C30" s="42">
        <v>3.1194734938128299E-2</v>
      </c>
    </row>
    <row r="31" spans="1:3" ht="14.25" customHeight="1" x14ac:dyDescent="0.25">
      <c r="B31" s="15" t="s">
        <v>28</v>
      </c>
      <c r="C31" s="42">
        <v>4.7636985017141802E-2</v>
      </c>
    </row>
    <row r="32" spans="1:3" ht="14.25" customHeight="1" x14ac:dyDescent="0.25">
      <c r="B32" s="15" t="s">
        <v>29</v>
      </c>
      <c r="C32" s="42">
        <v>0.50220770626986799</v>
      </c>
    </row>
    <row r="33" spans="1:5" ht="13.2" customHeight="1" x14ac:dyDescent="0.25">
      <c r="B33" s="16" t="s">
        <v>30</v>
      </c>
      <c r="C33" s="98">
        <f>SUM(C29:C32)</f>
        <v>1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4.9259628434581204</v>
      </c>
    </row>
    <row r="38" spans="1:5" ht="15" customHeight="1" x14ac:dyDescent="0.25">
      <c r="B38" s="65" t="s">
        <v>34</v>
      </c>
      <c r="C38" s="94">
        <v>6.5156473853627501</v>
      </c>
      <c r="D38" s="5"/>
      <c r="E38" s="6"/>
    </row>
    <row r="39" spans="1:5" ht="15" customHeight="1" x14ac:dyDescent="0.25">
      <c r="B39" s="65" t="s">
        <v>35</v>
      </c>
      <c r="C39" s="94">
        <v>7.6174135059949801</v>
      </c>
      <c r="D39" s="5"/>
      <c r="E39" s="5"/>
    </row>
    <row r="40" spans="1:5" ht="15" customHeight="1" x14ac:dyDescent="0.25">
      <c r="B40" s="65" t="s">
        <v>36</v>
      </c>
      <c r="C40" s="94">
        <v>0.53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5.7887200759999997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1.68273E-2</v>
      </c>
      <c r="D45" s="5"/>
    </row>
    <row r="46" spans="1:5" ht="15.75" customHeight="1" x14ac:dyDescent="0.25">
      <c r="B46" s="65" t="s">
        <v>41</v>
      </c>
      <c r="C46" s="33">
        <v>6.2211489999999987E-2</v>
      </c>
      <c r="D46" s="5"/>
    </row>
    <row r="47" spans="1:5" ht="15.75" customHeight="1" x14ac:dyDescent="0.25">
      <c r="B47" s="65" t="s">
        <v>42</v>
      </c>
      <c r="C47" s="33">
        <v>0.17060520000000001</v>
      </c>
      <c r="D47" s="5"/>
      <c r="E47" s="6"/>
    </row>
    <row r="48" spans="1:5" ht="15" customHeight="1" x14ac:dyDescent="0.25">
      <c r="B48" s="65" t="s">
        <v>43</v>
      </c>
      <c r="C48" s="97">
        <v>0.75035600999999996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2.4</v>
      </c>
      <c r="D51" s="5"/>
    </row>
    <row r="52" spans="1:4" ht="15" customHeight="1" x14ac:dyDescent="0.25">
      <c r="B52" s="65" t="s">
        <v>46</v>
      </c>
      <c r="C52" s="35">
        <v>2.4</v>
      </c>
    </row>
    <row r="53" spans="1:4" ht="15.75" customHeight="1" x14ac:dyDescent="0.25">
      <c r="B53" s="65" t="s">
        <v>47</v>
      </c>
      <c r="C53" s="35">
        <v>2.4</v>
      </c>
    </row>
    <row r="54" spans="1:4" ht="15.75" customHeight="1" x14ac:dyDescent="0.25">
      <c r="B54" s="65" t="s">
        <v>48</v>
      </c>
      <c r="C54" s="35">
        <v>2.4</v>
      </c>
    </row>
    <row r="55" spans="1:4" ht="15.75" customHeight="1" x14ac:dyDescent="0.25">
      <c r="B55" s="65" t="s">
        <v>49</v>
      </c>
      <c r="C55" s="35">
        <v>2.4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2.1666666666666671E-2</v>
      </c>
    </row>
    <row r="59" spans="1:4" ht="15.75" customHeight="1" x14ac:dyDescent="0.25">
      <c r="B59" s="65" t="s">
        <v>52</v>
      </c>
      <c r="C59" s="32">
        <v>0.55161899999999997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0.11717912999999899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7038.6504000000004</v>
      </c>
      <c r="C2" s="37">
        <v>13000</v>
      </c>
      <c r="D2" s="37">
        <v>34000</v>
      </c>
      <c r="E2" s="37">
        <v>42000</v>
      </c>
      <c r="F2" s="37">
        <v>25000</v>
      </c>
      <c r="G2" s="9">
        <f t="shared" ref="G2:G40" si="0">C2+D2+E2+F2</f>
        <v>114000</v>
      </c>
      <c r="H2" s="9">
        <f t="shared" ref="H2:H40" si="1">(B2 + stillbirth*B2/(1000-stillbirth))/(1-abortion)</f>
        <v>8045.0368298454496</v>
      </c>
      <c r="I2" s="9">
        <f t="shared" ref="I2:I40" si="2">G2-H2</f>
        <v>105954.96317015454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6840.6016000000009</v>
      </c>
      <c r="C3" s="37">
        <v>14000</v>
      </c>
      <c r="D3" s="37">
        <v>32000</v>
      </c>
      <c r="E3" s="37">
        <v>42000</v>
      </c>
      <c r="F3" s="37">
        <v>26000</v>
      </c>
      <c r="G3" s="9">
        <f t="shared" si="0"/>
        <v>114000</v>
      </c>
      <c r="H3" s="9">
        <f t="shared" si="1"/>
        <v>7818.6710069162855</v>
      </c>
      <c r="I3" s="9">
        <f t="shared" si="2"/>
        <v>106181.32899308372</v>
      </c>
    </row>
    <row r="4" spans="1:9" ht="15.75" customHeight="1" x14ac:dyDescent="0.25">
      <c r="A4" s="69">
        <f t="shared" si="3"/>
        <v>2023</v>
      </c>
      <c r="B4" s="36">
        <v>6649.0948000000008</v>
      </c>
      <c r="C4" s="37">
        <v>14000</v>
      </c>
      <c r="D4" s="37">
        <v>31000</v>
      </c>
      <c r="E4" s="37">
        <v>42000</v>
      </c>
      <c r="F4" s="37">
        <v>28000</v>
      </c>
      <c r="G4" s="9">
        <f t="shared" si="0"/>
        <v>115000</v>
      </c>
      <c r="H4" s="9">
        <f t="shared" si="1"/>
        <v>7599.782559328969</v>
      </c>
      <c r="I4" s="9">
        <f t="shared" si="2"/>
        <v>107400.21744067103</v>
      </c>
    </row>
    <row r="5" spans="1:9" ht="15.75" customHeight="1" x14ac:dyDescent="0.25">
      <c r="A5" s="69">
        <f t="shared" si="3"/>
        <v>2024</v>
      </c>
      <c r="B5" s="36">
        <v>6422.4864000000016</v>
      </c>
      <c r="C5" s="37">
        <v>15000</v>
      </c>
      <c r="D5" s="37">
        <v>30000</v>
      </c>
      <c r="E5" s="37">
        <v>42000</v>
      </c>
      <c r="F5" s="37">
        <v>29000</v>
      </c>
      <c r="G5" s="9">
        <f t="shared" si="0"/>
        <v>116000</v>
      </c>
      <c r="H5" s="9">
        <f t="shared" si="1"/>
        <v>7340.7736839979334</v>
      </c>
      <c r="I5" s="9">
        <f t="shared" si="2"/>
        <v>108659.22631600207</v>
      </c>
    </row>
    <row r="6" spans="1:9" ht="15.75" customHeight="1" x14ac:dyDescent="0.25">
      <c r="A6" s="69">
        <f t="shared" si="3"/>
        <v>2025</v>
      </c>
      <c r="B6" s="36">
        <v>6202.42</v>
      </c>
      <c r="C6" s="37">
        <v>15000</v>
      </c>
      <c r="D6" s="37">
        <v>29000</v>
      </c>
      <c r="E6" s="37">
        <v>42000</v>
      </c>
      <c r="F6" s="37">
        <v>31000</v>
      </c>
      <c r="G6" s="9">
        <f t="shared" si="0"/>
        <v>117000</v>
      </c>
      <c r="H6" s="9">
        <f t="shared" si="1"/>
        <v>7089.2421840087436</v>
      </c>
      <c r="I6" s="9">
        <f t="shared" si="2"/>
        <v>109910.75781599125</v>
      </c>
    </row>
    <row r="7" spans="1:9" ht="15.75" customHeight="1" x14ac:dyDescent="0.25">
      <c r="A7" s="69">
        <f t="shared" si="3"/>
        <v>2026</v>
      </c>
      <c r="B7" s="36">
        <v>6067.2150000000001</v>
      </c>
      <c r="C7" s="37">
        <v>16000</v>
      </c>
      <c r="D7" s="37">
        <v>29000</v>
      </c>
      <c r="E7" s="37">
        <v>41000</v>
      </c>
      <c r="F7" s="37">
        <v>33000</v>
      </c>
      <c r="G7" s="9">
        <f t="shared" si="0"/>
        <v>119000</v>
      </c>
      <c r="H7" s="9">
        <f t="shared" si="1"/>
        <v>6934.705569350449</v>
      </c>
      <c r="I7" s="9">
        <f t="shared" si="2"/>
        <v>112065.29443064955</v>
      </c>
    </row>
    <row r="8" spans="1:9" ht="15.75" customHeight="1" x14ac:dyDescent="0.25">
      <c r="A8" s="69">
        <f t="shared" si="3"/>
        <v>2027</v>
      </c>
      <c r="B8" s="36">
        <v>5916.1440000000002</v>
      </c>
      <c r="C8" s="37">
        <v>16000</v>
      </c>
      <c r="D8" s="37">
        <v>28000</v>
      </c>
      <c r="E8" s="37">
        <v>39000</v>
      </c>
      <c r="F8" s="37">
        <v>35000</v>
      </c>
      <c r="G8" s="9">
        <f t="shared" si="0"/>
        <v>118000</v>
      </c>
      <c r="H8" s="9">
        <f t="shared" si="1"/>
        <v>6762.0344335711261</v>
      </c>
      <c r="I8" s="9">
        <f t="shared" si="2"/>
        <v>111237.96556642887</v>
      </c>
    </row>
    <row r="9" spans="1:9" ht="15.75" customHeight="1" x14ac:dyDescent="0.25">
      <c r="A9" s="69">
        <f t="shared" si="3"/>
        <v>2028</v>
      </c>
      <c r="B9" s="36">
        <v>5773.32</v>
      </c>
      <c r="C9" s="37">
        <v>17000</v>
      </c>
      <c r="D9" s="37">
        <v>28000</v>
      </c>
      <c r="E9" s="37">
        <v>38000</v>
      </c>
      <c r="F9" s="37">
        <v>37000</v>
      </c>
      <c r="G9" s="9">
        <f t="shared" si="0"/>
        <v>120000</v>
      </c>
      <c r="H9" s="9">
        <f t="shared" si="1"/>
        <v>6598.7894540810448</v>
      </c>
      <c r="I9" s="9">
        <f t="shared" si="2"/>
        <v>113401.21054591896</v>
      </c>
    </row>
    <row r="10" spans="1:9" ht="15.75" customHeight="1" x14ac:dyDescent="0.25">
      <c r="A10" s="69">
        <f t="shared" si="3"/>
        <v>2029</v>
      </c>
      <c r="B10" s="36">
        <v>5615.4319999999998</v>
      </c>
      <c r="C10" s="37">
        <v>18000</v>
      </c>
      <c r="D10" s="37">
        <v>29000</v>
      </c>
      <c r="E10" s="37">
        <v>36000</v>
      </c>
      <c r="F10" s="37">
        <v>38000</v>
      </c>
      <c r="G10" s="9">
        <f t="shared" si="0"/>
        <v>121000</v>
      </c>
      <c r="H10" s="9">
        <f t="shared" si="1"/>
        <v>6418.3266234522307</v>
      </c>
      <c r="I10" s="9">
        <f t="shared" si="2"/>
        <v>114581.67337654777</v>
      </c>
    </row>
    <row r="11" spans="1:9" ht="15.75" customHeight="1" x14ac:dyDescent="0.25">
      <c r="A11" s="69">
        <f t="shared" si="3"/>
        <v>2030</v>
      </c>
      <c r="B11" s="36">
        <v>5454.3360000000002</v>
      </c>
      <c r="C11" s="37">
        <v>18000</v>
      </c>
      <c r="D11" s="37">
        <v>29000</v>
      </c>
      <c r="E11" s="37">
        <v>36000</v>
      </c>
      <c r="F11" s="37">
        <v>40000</v>
      </c>
      <c r="G11" s="9">
        <f t="shared" si="0"/>
        <v>123000</v>
      </c>
      <c r="H11" s="9">
        <f t="shared" si="1"/>
        <v>6234.1971128942432</v>
      </c>
      <c r="I11" s="9">
        <f t="shared" si="2"/>
        <v>116765.80288710576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2948888.4717162908</v>
      </c>
      <c r="I12" s="9">
        <f t="shared" si="2"/>
        <v>15634780.52828371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3006037.4731061412</v>
      </c>
      <c r="I13" s="9">
        <f t="shared" si="2"/>
        <v>16168542.526893858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3074616.2747739623</v>
      </c>
      <c r="I14" s="9">
        <f t="shared" si="2"/>
        <v>16701639.725226037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3131765.2761638127</v>
      </c>
      <c r="I15" s="9">
        <f t="shared" si="2"/>
        <v>17254962.723836187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6.5759845976876008E-2</v>
      </c>
    </row>
    <row r="5" spans="1:8" ht="15.75" customHeight="1" x14ac:dyDescent="0.25">
      <c r="B5" s="11" t="s">
        <v>70</v>
      </c>
      <c r="C5" s="38">
        <v>3.3172605752683042E-2</v>
      </c>
    </row>
    <row r="6" spans="1:8" ht="15.75" customHeight="1" x14ac:dyDescent="0.25">
      <c r="B6" s="11" t="s">
        <v>71</v>
      </c>
      <c r="C6" s="38">
        <v>0.112459329068909</v>
      </c>
    </row>
    <row r="7" spans="1:8" ht="15.75" customHeight="1" x14ac:dyDescent="0.25">
      <c r="B7" s="11" t="s">
        <v>72</v>
      </c>
      <c r="C7" s="38">
        <v>0.39361010626417459</v>
      </c>
    </row>
    <row r="8" spans="1:8" ht="15.75" customHeight="1" x14ac:dyDescent="0.25">
      <c r="B8" s="11" t="s">
        <v>73</v>
      </c>
      <c r="C8" s="38">
        <v>4.8637909429998967E-3</v>
      </c>
    </row>
    <row r="9" spans="1:8" ht="15.75" customHeight="1" x14ac:dyDescent="0.25">
      <c r="B9" s="11" t="s">
        <v>74</v>
      </c>
      <c r="C9" s="38">
        <v>0.276278084258817</v>
      </c>
    </row>
    <row r="10" spans="1:8" ht="15.75" customHeight="1" x14ac:dyDescent="0.25">
      <c r="B10" s="11" t="s">
        <v>75</v>
      </c>
      <c r="C10" s="38">
        <v>0.1138562377355406</v>
      </c>
    </row>
    <row r="11" spans="1:8" ht="15.75" customHeight="1" x14ac:dyDescent="0.25">
      <c r="B11" s="16" t="s">
        <v>30</v>
      </c>
      <c r="C11" s="98">
        <f>SUM(C3:C10)</f>
        <v>1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3.090250199768375E-2</v>
      </c>
      <c r="D14" s="38">
        <v>3.090250199768375E-2</v>
      </c>
      <c r="E14" s="38">
        <v>3.090250199768375E-2</v>
      </c>
      <c r="F14" s="38">
        <v>3.090250199768375E-2</v>
      </c>
    </row>
    <row r="15" spans="1:8" ht="15.75" customHeight="1" x14ac:dyDescent="0.25">
      <c r="B15" s="11" t="s">
        <v>82</v>
      </c>
      <c r="C15" s="38">
        <v>0.1266394252048863</v>
      </c>
      <c r="D15" s="38">
        <v>0.1266394252048863</v>
      </c>
      <c r="E15" s="38">
        <v>0.1266394252048863</v>
      </c>
      <c r="F15" s="38">
        <v>0.1266394252048863</v>
      </c>
    </row>
    <row r="16" spans="1:8" ht="15.75" customHeight="1" x14ac:dyDescent="0.25">
      <c r="B16" s="11" t="s">
        <v>83</v>
      </c>
      <c r="C16" s="38">
        <v>1.675247975385152E-2</v>
      </c>
      <c r="D16" s="38">
        <v>1.675247975385152E-2</v>
      </c>
      <c r="E16" s="38">
        <v>1.675247975385152E-2</v>
      </c>
      <c r="F16" s="38">
        <v>1.675247975385152E-2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2.533730353389875E-2</v>
      </c>
      <c r="D19" s="38">
        <v>2.533730353389875E-2</v>
      </c>
      <c r="E19" s="38">
        <v>2.533730353389875E-2</v>
      </c>
      <c r="F19" s="38">
        <v>2.533730353389875E-2</v>
      </c>
    </row>
    <row r="20" spans="1:8" ht="15.75" customHeight="1" x14ac:dyDescent="0.25">
      <c r="B20" s="11" t="s">
        <v>87</v>
      </c>
      <c r="C20" s="38">
        <v>0</v>
      </c>
      <c r="D20" s="38">
        <v>0</v>
      </c>
      <c r="E20" s="38">
        <v>0</v>
      </c>
      <c r="F20" s="38">
        <v>0</v>
      </c>
    </row>
    <row r="21" spans="1:8" ht="15.75" customHeight="1" x14ac:dyDescent="0.25">
      <c r="B21" s="11" t="s">
        <v>88</v>
      </c>
      <c r="C21" s="38">
        <v>9.7484367612660064E-2</v>
      </c>
      <c r="D21" s="38">
        <v>9.7484367612660064E-2</v>
      </c>
      <c r="E21" s="38">
        <v>9.7484367612660064E-2</v>
      </c>
      <c r="F21" s="38">
        <v>9.7484367612660064E-2</v>
      </c>
    </row>
    <row r="22" spans="1:8" ht="15.75" customHeight="1" x14ac:dyDescent="0.25">
      <c r="B22" s="11" t="s">
        <v>89</v>
      </c>
      <c r="C22" s="38">
        <v>0.70288392189701954</v>
      </c>
      <c r="D22" s="38">
        <v>0.70288392189701954</v>
      </c>
      <c r="E22" s="38">
        <v>0.70288392189701954</v>
      </c>
      <c r="F22" s="38">
        <v>0.70288392189701954</v>
      </c>
    </row>
    <row r="23" spans="1:8" ht="15.75" customHeight="1" x14ac:dyDescent="0.25">
      <c r="B23" s="16" t="s">
        <v>30</v>
      </c>
      <c r="C23" s="98">
        <f>SUM(C14:C22)</f>
        <v>0.99999999999999989</v>
      </c>
      <c r="D23" s="98">
        <f>SUM(D14:D22)</f>
        <v>0.99999999999999989</v>
      </c>
      <c r="E23" s="98">
        <f>SUM(E14:E22)</f>
        <v>0.99999999999999989</v>
      </c>
      <c r="F23" s="98">
        <f>SUM(F14:F22)</f>
        <v>0.99999999999999989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3.7058319999999999E-2</v>
      </c>
    </row>
    <row r="27" spans="1:8" ht="15.75" customHeight="1" x14ac:dyDescent="0.25">
      <c r="B27" s="11" t="s">
        <v>92</v>
      </c>
      <c r="C27" s="38">
        <v>3.1722030000000002E-3</v>
      </c>
    </row>
    <row r="28" spans="1:8" ht="15.75" customHeight="1" x14ac:dyDescent="0.25">
      <c r="B28" s="11" t="s">
        <v>93</v>
      </c>
      <c r="C28" s="38">
        <v>0.26537214399999998</v>
      </c>
    </row>
    <row r="29" spans="1:8" ht="15.75" customHeight="1" x14ac:dyDescent="0.25">
      <c r="B29" s="11" t="s">
        <v>94</v>
      </c>
      <c r="C29" s="38">
        <v>8.9267518000000004E-2</v>
      </c>
    </row>
    <row r="30" spans="1:8" ht="15.75" customHeight="1" x14ac:dyDescent="0.25">
      <c r="B30" s="11" t="s">
        <v>95</v>
      </c>
      <c r="C30" s="38">
        <v>3.4850704000000003E-2</v>
      </c>
    </row>
    <row r="31" spans="1:8" ht="15.75" customHeight="1" x14ac:dyDescent="0.25">
      <c r="B31" s="11" t="s">
        <v>96</v>
      </c>
      <c r="C31" s="38">
        <v>5.2997323999999998E-2</v>
      </c>
    </row>
    <row r="32" spans="1:8" ht="15.75" customHeight="1" x14ac:dyDescent="0.25">
      <c r="B32" s="11" t="s">
        <v>97</v>
      </c>
      <c r="C32" s="38">
        <v>4.1757296000000013E-2</v>
      </c>
    </row>
    <row r="33" spans="2:3" ht="15.75" customHeight="1" x14ac:dyDescent="0.25">
      <c r="B33" s="11" t="s">
        <v>98</v>
      </c>
      <c r="C33" s="38">
        <v>5.6826768999999999E-2</v>
      </c>
    </row>
    <row r="34" spans="2:3" ht="15.75" customHeight="1" x14ac:dyDescent="0.25">
      <c r="B34" s="11" t="s">
        <v>99</v>
      </c>
      <c r="C34" s="38">
        <v>0.41869772199999999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0.39293037520028529</v>
      </c>
      <c r="D2" s="99">
        <f>IFERROR(1-_xlfn.NORM.DIST(_xlfn.NORM.INV(SUM(D4:D5), 0, 1) + 1, 0, 1, TRUE), "")</f>
        <v>0.39293037520028529</v>
      </c>
      <c r="E2" s="99">
        <f>IFERROR(1-_xlfn.NORM.DIST(_xlfn.NORM.INV(SUM(E4:E5), 0, 1) + 1, 0, 1, TRUE), "")</f>
        <v>0.52349474870504731</v>
      </c>
      <c r="F2" s="99">
        <f>IFERROR(1-_xlfn.NORM.DIST(_xlfn.NORM.INV(SUM(F4:F5), 0, 1) + 1, 0, 1, TRUE), "")</f>
        <v>0.40769119556408751</v>
      </c>
      <c r="G2" s="99">
        <f>IFERROR(1-_xlfn.NORM.DIST(_xlfn.NORM.INV(SUM(G4:G5), 0, 1) + 1, 0, 1, TRUE), "")</f>
        <v>0.56311273475873347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0.37385784669540939</v>
      </c>
      <c r="D3" s="99">
        <f>IFERROR(_xlfn.NORM.DIST(_xlfn.NORM.INV(SUM(D4:D5), 0, 1) + 1, 0, 1, TRUE) - SUM(D4:D5), "")</f>
        <v>0.37385784669540939</v>
      </c>
      <c r="E3" s="99">
        <f>IFERROR(_xlfn.NORM.DIST(_xlfn.NORM.INV(SUM(E4:E5), 0, 1) + 1, 0, 1, TRUE) - SUM(E4:E5), "")</f>
        <v>0.33168866640983258</v>
      </c>
      <c r="F3" s="99">
        <f>IFERROR(_xlfn.NORM.DIST(_xlfn.NORM.INV(SUM(F4:F5), 0, 1) + 1, 0, 1, TRUE) - SUM(F4:F5), "")</f>
        <v>0.37062291060227559</v>
      </c>
      <c r="G3" s="99">
        <f>IFERROR(_xlfn.NORM.DIST(_xlfn.NORM.INV(SUM(G4:G5), 0, 1) + 1, 0, 1, TRUE) - SUM(G4:G5), "")</f>
        <v>0.31363183917713289</v>
      </c>
    </row>
    <row r="4" spans="1:15" ht="15.75" customHeight="1" x14ac:dyDescent="0.25">
      <c r="B4" s="69" t="s">
        <v>104</v>
      </c>
      <c r="C4" s="39">
        <v>0.14632110297679901</v>
      </c>
      <c r="D4" s="39">
        <v>0.14632110297679901</v>
      </c>
      <c r="E4" s="39">
        <v>0.10602942854166</v>
      </c>
      <c r="F4" s="39">
        <v>0.15473890304565399</v>
      </c>
      <c r="G4" s="39">
        <v>9.7377270460128798E-2</v>
      </c>
    </row>
    <row r="5" spans="1:15" ht="15.75" customHeight="1" x14ac:dyDescent="0.25">
      <c r="B5" s="69" t="s">
        <v>105</v>
      </c>
      <c r="C5" s="39">
        <v>8.6890675127506298E-2</v>
      </c>
      <c r="D5" s="39">
        <v>8.6890675127506298E-2</v>
      </c>
      <c r="E5" s="39">
        <v>3.8787156343460097E-2</v>
      </c>
      <c r="F5" s="39">
        <v>6.6946990787982899E-2</v>
      </c>
      <c r="G5" s="39">
        <v>2.5878155604004902E-2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0.60723549400798893</v>
      </c>
      <c r="D8" s="99">
        <f>IFERROR(1-_xlfn.NORM.DIST(_xlfn.NORM.INV(SUM(D10:D11), 0, 1) + 1, 0, 1, TRUE), "")</f>
        <v>0.60723549400798893</v>
      </c>
      <c r="E8" s="99">
        <f>IFERROR(1-_xlfn.NORM.DIST(_xlfn.NORM.INV(SUM(E10:E11), 0, 1) + 1, 0, 1, TRUE), "")</f>
        <v>0.67683857208861409</v>
      </c>
      <c r="F8" s="99">
        <f>IFERROR(1-_xlfn.NORM.DIST(_xlfn.NORM.INV(SUM(F10:F11), 0, 1) + 1, 0, 1, TRUE), "")</f>
        <v>0.74772589477629037</v>
      </c>
      <c r="G8" s="99">
        <f>IFERROR(1-_xlfn.NORM.DIST(_xlfn.NORM.INV(SUM(G10:G11), 0, 1) + 1, 0, 1, TRUE), "")</f>
        <v>0.5963286747776877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0.29109943384893316</v>
      </c>
      <c r="D9" s="99">
        <f>IFERROR(_xlfn.NORM.DIST(_xlfn.NORM.INV(SUM(D10:D11), 0, 1) + 1, 0, 1, TRUE) - SUM(D10:D11), "")</f>
        <v>0.29109943384893316</v>
      </c>
      <c r="E9" s="99">
        <f>IFERROR(_xlfn.NORM.DIST(_xlfn.NORM.INV(SUM(E10:E11), 0, 1) + 1, 0, 1, TRUE) - SUM(E10:E11), "")</f>
        <v>0.25086187669263771</v>
      </c>
      <c r="F9" s="99">
        <f>IFERROR(_xlfn.NORM.DIST(_xlfn.NORM.INV(SUM(F10:F11), 0, 1) + 1, 0, 1, TRUE) - SUM(F10:F11), "")</f>
        <v>0.20455175022676023</v>
      </c>
      <c r="G9" s="99">
        <f>IFERROR(_xlfn.NORM.DIST(_xlfn.NORM.INV(SUM(G10:G11), 0, 1) + 1, 0, 1, TRUE) - SUM(G10:G11), "")</f>
        <v>0.29689497038787493</v>
      </c>
    </row>
    <row r="10" spans="1:15" ht="15.75" customHeight="1" x14ac:dyDescent="0.25">
      <c r="B10" s="69" t="s">
        <v>109</v>
      </c>
      <c r="C10" s="39">
        <v>4.1757505387067802E-2</v>
      </c>
      <c r="D10" s="39">
        <v>4.1757505387067802E-2</v>
      </c>
      <c r="E10" s="39">
        <v>4.7525834292173413E-2</v>
      </c>
      <c r="F10" s="39">
        <v>4.0686640888452502E-2</v>
      </c>
      <c r="G10" s="39">
        <v>8.9164137840270996E-2</v>
      </c>
    </row>
    <row r="11" spans="1:15" ht="15.75" customHeight="1" x14ac:dyDescent="0.25">
      <c r="B11" s="69" t="s">
        <v>110</v>
      </c>
      <c r="C11" s="39">
        <v>5.9907566756010097E-2</v>
      </c>
      <c r="D11" s="39">
        <v>5.9907566756010097E-2</v>
      </c>
      <c r="E11" s="39">
        <v>2.47737169265747E-2</v>
      </c>
      <c r="F11" s="39">
        <v>7.0357141084969E-3</v>
      </c>
      <c r="G11" s="39">
        <v>1.7612216994166398E-2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0.54814867350000007</v>
      </c>
      <c r="D14" s="40">
        <v>0.52809382599400001</v>
      </c>
      <c r="E14" s="40">
        <v>0.52809382599400001</v>
      </c>
      <c r="F14" s="40">
        <v>0.246947057985</v>
      </c>
      <c r="G14" s="40">
        <v>0.246947057985</v>
      </c>
      <c r="H14" s="41">
        <v>0.46899999999999997</v>
      </c>
      <c r="I14" s="41">
        <v>0.46899999999999997</v>
      </c>
      <c r="J14" s="41">
        <v>0.46899999999999997</v>
      </c>
      <c r="K14" s="41">
        <v>0.46899999999999997</v>
      </c>
      <c r="L14" s="41">
        <v>0.42399999999999999</v>
      </c>
      <c r="M14" s="41">
        <v>0.42399999999999999</v>
      </c>
      <c r="N14" s="41">
        <v>0.42399999999999999</v>
      </c>
      <c r="O14" s="41">
        <v>0.42399999999999999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0.3023692231273965</v>
      </c>
      <c r="D15" s="99">
        <f t="shared" si="0"/>
        <v>0.29130658820098426</v>
      </c>
      <c r="E15" s="99">
        <f t="shared" si="0"/>
        <v>0.29130658820098426</v>
      </c>
      <c r="F15" s="99">
        <f t="shared" si="0"/>
        <v>0.1362206891786277</v>
      </c>
      <c r="G15" s="99">
        <f t="shared" si="0"/>
        <v>0.1362206891786277</v>
      </c>
      <c r="H15" s="99">
        <f t="shared" si="0"/>
        <v>0.258709311</v>
      </c>
      <c r="I15" s="99">
        <f t="shared" si="0"/>
        <v>0.258709311</v>
      </c>
      <c r="J15" s="99">
        <f t="shared" si="0"/>
        <v>0.258709311</v>
      </c>
      <c r="K15" s="99">
        <f t="shared" si="0"/>
        <v>0.258709311</v>
      </c>
      <c r="L15" s="99">
        <f t="shared" si="0"/>
        <v>0.23388645599999999</v>
      </c>
      <c r="M15" s="99">
        <f t="shared" si="0"/>
        <v>0.23388645599999999</v>
      </c>
      <c r="N15" s="99">
        <f t="shared" si="0"/>
        <v>0.23388645599999999</v>
      </c>
      <c r="O15" s="99">
        <f t="shared" si="0"/>
        <v>0.23388645599999999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0.76553148031234697</v>
      </c>
      <c r="D2" s="39">
        <v>0.58960089999999998</v>
      </c>
      <c r="E2" s="39"/>
      <c r="F2" s="39"/>
      <c r="G2" s="39"/>
    </row>
    <row r="3" spans="1:7" x14ac:dyDescent="0.25">
      <c r="B3" s="78" t="s">
        <v>120</v>
      </c>
      <c r="C3" s="39">
        <v>0.115765675902367</v>
      </c>
      <c r="D3" s="39">
        <v>0.16178020000000001</v>
      </c>
      <c r="E3" s="39"/>
      <c r="F3" s="39"/>
      <c r="G3" s="39"/>
    </row>
    <row r="4" spans="1:7" x14ac:dyDescent="0.25">
      <c r="B4" s="78" t="s">
        <v>121</v>
      </c>
      <c r="C4" s="39">
        <v>0.115296460688114</v>
      </c>
      <c r="D4" s="39">
        <v>0.2179171</v>
      </c>
      <c r="E4" s="39">
        <v>0.86853903532028198</v>
      </c>
      <c r="F4" s="39">
        <v>0.72773998975753795</v>
      </c>
      <c r="G4" s="39"/>
    </row>
    <row r="5" spans="1:7" x14ac:dyDescent="0.25">
      <c r="B5" s="78" t="s">
        <v>122</v>
      </c>
      <c r="C5" s="100">
        <v>3.4063772764056999E-3</v>
      </c>
      <c r="D5" s="100">
        <v>3.0701750889420499E-2</v>
      </c>
      <c r="E5" s="100">
        <f>1-E2-E3-E4</f>
        <v>0.13146096467971802</v>
      </c>
      <c r="F5" s="100">
        <f>1-F2-F3-F4</f>
        <v>0.27226001024246205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0.63489566388380003</v>
      </c>
      <c r="C2" s="43">
        <v>0.95</v>
      </c>
      <c r="D2" s="86">
        <v>94.586213594378066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40.699506896759281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987.5278427956996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7.0964877118934746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0.19673955396831999</v>
      </c>
      <c r="C10" s="43">
        <v>0.95</v>
      </c>
      <c r="D10" s="86">
        <v>13.83180634055519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0.19673955396831999</v>
      </c>
      <c r="C11" s="43">
        <v>0.95</v>
      </c>
      <c r="D11" s="86">
        <v>13.83180634055519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0.19673955396831999</v>
      </c>
      <c r="C12" s="43">
        <v>0.95</v>
      </c>
      <c r="D12" s="86">
        <v>13.83180634055519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0.19673955396831999</v>
      </c>
      <c r="C13" s="43">
        <v>0.95</v>
      </c>
      <c r="D13" s="86">
        <v>13.83180634055519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0.19673955396831999</v>
      </c>
      <c r="C14" s="43">
        <v>0.95</v>
      </c>
      <c r="D14" s="86">
        <v>13.83180634055519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0.19673955396831999</v>
      </c>
      <c r="C15" s="43">
        <v>0.95</v>
      </c>
      <c r="D15" s="86">
        <v>13.83180634055519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1.538572140450539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0.69</v>
      </c>
      <c r="C18" s="43">
        <v>0.95</v>
      </c>
      <c r="D18" s="86">
        <v>22.59355597690848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22.59355597690848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0.94481589999999993</v>
      </c>
      <c r="C21" s="43">
        <v>0.95</v>
      </c>
      <c r="D21" s="86">
        <v>89.248141599385079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24.299027096709931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4.7916044727007323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0.23882961838610001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0.15344456318312</v>
      </c>
      <c r="C27" s="43">
        <v>0.95</v>
      </c>
      <c r="D27" s="86">
        <v>19.508595698257331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0.99</v>
      </c>
      <c r="C29" s="43">
        <v>0.95</v>
      </c>
      <c r="D29" s="86">
        <v>197.08344135615161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2.1314125469028462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0.16300000000000001</v>
      </c>
      <c r="C32" s="43">
        <v>0.95</v>
      </c>
      <c r="D32" s="86">
        <v>3.387837434899573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9.0976219179999998E-2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2.7208464683869868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0.47802811546183699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2.4</v>
      </c>
      <c r="C2" s="13">
        <f>'Données pop de l''année de ref'!C52</f>
        <v>2.4</v>
      </c>
      <c r="D2" s="13">
        <f>'Données pop de l''année de ref'!C53</f>
        <v>2.4</v>
      </c>
      <c r="E2" s="13">
        <f>'Données pop de l''année de ref'!C54</f>
        <v>2.4</v>
      </c>
      <c r="F2" s="13">
        <f>'Données pop de l''année de ref'!C55</f>
        <v>2.4</v>
      </c>
    </row>
    <row r="3" spans="1:6" ht="15.75" customHeight="1" x14ac:dyDescent="0.25">
      <c r="A3" s="78" t="s">
        <v>203</v>
      </c>
      <c r="B3" s="13">
        <f>frac_mam_1month * 2.6</f>
        <v>0.10856951400637629</v>
      </c>
      <c r="C3" s="13">
        <f>frac_mam_1_5months * 2.6</f>
        <v>0.10856951400637629</v>
      </c>
      <c r="D3" s="13">
        <f>frac_mam_6_11months * 2.6</f>
        <v>0.12356716915965088</v>
      </c>
      <c r="E3" s="13">
        <f>frac_mam_12_23months * 2.6</f>
        <v>0.10578526630997651</v>
      </c>
      <c r="F3" s="13">
        <f>frac_mam_24_59months * 2.6</f>
        <v>0.2318267583847046</v>
      </c>
    </row>
    <row r="4" spans="1:6" ht="15.75" customHeight="1" x14ac:dyDescent="0.25">
      <c r="A4" s="78" t="s">
        <v>204</v>
      </c>
      <c r="B4" s="13">
        <f>frac_sam_1month * 2.6</f>
        <v>0.15575967356562626</v>
      </c>
      <c r="C4" s="13">
        <f>frac_sam_1_5months * 2.6</f>
        <v>0.15575967356562626</v>
      </c>
      <c r="D4" s="13">
        <f>frac_sam_6_11months * 2.6</f>
        <v>6.4411664009094219E-2</v>
      </c>
      <c r="E4" s="13">
        <f>frac_sam_12_23months * 2.6</f>
        <v>1.8292856682091942E-2</v>
      </c>
      <c r="F4" s="13">
        <f>frac_sam_24_59months * 2.6</f>
        <v>4.5791764184832641E-2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</v>
      </c>
      <c r="E2" s="47">
        <f>food_insecure</f>
        <v>0</v>
      </c>
      <c r="F2" s="47">
        <f>food_insecure</f>
        <v>0</v>
      </c>
      <c r="G2" s="47">
        <f>food_insecure</f>
        <v>0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</v>
      </c>
      <c r="F5" s="47">
        <f>food_insecure</f>
        <v>0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5.2000000000000011E-2</v>
      </c>
      <c r="D7" s="47">
        <f>diarrhoea_1_5mo*frac_diarrhea_severe</f>
        <v>5.2000000000000011E-2</v>
      </c>
      <c r="E7" s="47">
        <f>diarrhoea_6_11mo*frac_diarrhea_severe</f>
        <v>5.2000000000000011E-2</v>
      </c>
      <c r="F7" s="47">
        <f>diarrhoea_12_23mo*frac_diarrhea_severe</f>
        <v>5.2000000000000011E-2</v>
      </c>
      <c r="G7" s="47">
        <f>diarrhoea_24_59mo*frac_diarrhea_severe</f>
        <v>5.2000000000000011E-2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</v>
      </c>
      <c r="F8" s="47">
        <f>food_insecure</f>
        <v>0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</v>
      </c>
      <c r="F9" s="47">
        <f>food_insecure</f>
        <v>0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0.74099999999999999</v>
      </c>
      <c r="E10" s="47">
        <f>IF(ISBLANK(comm_deliv), frac_children_health_facility,1)</f>
        <v>0.74099999999999999</v>
      </c>
      <c r="F10" s="47">
        <f>IF(ISBLANK(comm_deliv), frac_children_health_facility,1)</f>
        <v>0.74099999999999999</v>
      </c>
      <c r="G10" s="47">
        <f>IF(ISBLANK(comm_deliv), frac_children_health_facility,1)</f>
        <v>0.74099999999999999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5.2000000000000011E-2</v>
      </c>
      <c r="D12" s="47">
        <f>diarrhoea_1_5mo*frac_diarrhea_severe</f>
        <v>5.2000000000000011E-2</v>
      </c>
      <c r="E12" s="47">
        <f>diarrhoea_6_11mo*frac_diarrhea_severe</f>
        <v>5.2000000000000011E-2</v>
      </c>
      <c r="F12" s="47">
        <f>diarrhoea_12_23mo*frac_diarrhea_severe</f>
        <v>5.2000000000000011E-2</v>
      </c>
      <c r="G12" s="47">
        <f>diarrhoea_24_59mo*frac_diarrhea_severe</f>
        <v>5.2000000000000011E-2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</v>
      </c>
      <c r="I15" s="47">
        <f>food_insecure</f>
        <v>0</v>
      </c>
      <c r="J15" s="47">
        <f>food_insecure</f>
        <v>0</v>
      </c>
      <c r="K15" s="47">
        <f>food_insecure</f>
        <v>0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0.85099999999999998</v>
      </c>
      <c r="I18" s="47">
        <f>frac_PW_health_facility</f>
        <v>0.85099999999999998</v>
      </c>
      <c r="J18" s="47">
        <f>frac_PW_health_facility</f>
        <v>0.85099999999999998</v>
      </c>
      <c r="K18" s="47">
        <f>frac_PW_health_facility</f>
        <v>0.85099999999999998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0.57299999999999995</v>
      </c>
      <c r="M24" s="47">
        <f>famplan_unmet_need</f>
        <v>0.57299999999999995</v>
      </c>
      <c r="N24" s="47">
        <f>famplan_unmet_need</f>
        <v>0.57299999999999995</v>
      </c>
      <c r="O24" s="47">
        <f>famplan_unmet_need</f>
        <v>0.57299999999999995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0.19838835373700001</v>
      </c>
      <c r="M25" s="47">
        <f>(1-food_insecure)*(0.49)+food_insecure*(0.7)</f>
        <v>0.49</v>
      </c>
      <c r="N25" s="47">
        <f>(1-food_insecure)*(0.49)+food_insecure*(0.7)</f>
        <v>0.49</v>
      </c>
      <c r="O25" s="47">
        <f>(1-food_insecure)*(0.49)+food_insecure*(0.7)</f>
        <v>0.49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8.5023580173000005E-2</v>
      </c>
      <c r="M26" s="47">
        <f>(1-food_insecure)*(0.21)+food_insecure*(0.3)</f>
        <v>0.21</v>
      </c>
      <c r="N26" s="47">
        <f>(1-food_insecure)*(0.21)+food_insecure*(0.3)</f>
        <v>0.21</v>
      </c>
      <c r="O26" s="47">
        <f>(1-food_insecure)*(0.21)+food_insecure*(0.3)</f>
        <v>0.21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0.12146225738999999</v>
      </c>
      <c r="M27" s="47">
        <f>(1-food_insecure)*(0.3)</f>
        <v>0.3</v>
      </c>
      <c r="N27" s="47">
        <f>(1-food_insecure)*(0.3)</f>
        <v>0.3</v>
      </c>
      <c r="O27" s="47">
        <f>(1-food_insecure)*(0.3)</f>
        <v>0.3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0.59512580869999998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2023-01-25T00:10:33Z</dcterms:modified>
</cp:coreProperties>
</file>