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48FCA5B3-13A0-450F-A564-2F7F49017BA1}" xr6:coauthVersionLast="47" xr6:coauthVersionMax="47" xr10:uidLastSave="{00000000-0000-0000-0000-000000000000}"/>
  <bookViews>
    <workbookView xWindow="-108" yWindow="-108" windowWidth="23256" windowHeight="12456" tabRatio="961" firstSheet="4" activeTab="10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A39" i="2"/>
  <c r="H38" i="2"/>
  <c r="I38" i="2" s="1"/>
  <c r="G38" i="2"/>
  <c r="H37" i="2"/>
  <c r="G37" i="2"/>
  <c r="I37" i="2" s="1"/>
  <c r="A37" i="2"/>
  <c r="H36" i="2"/>
  <c r="I36" i="2" s="1"/>
  <c r="G36" i="2"/>
  <c r="H35" i="2"/>
  <c r="G35" i="2"/>
  <c r="I35" i="2" s="1"/>
  <c r="A35" i="2"/>
  <c r="H34" i="2"/>
  <c r="I34" i="2" s="1"/>
  <c r="G34" i="2"/>
  <c r="H33" i="2"/>
  <c r="G33" i="2"/>
  <c r="I33" i="2" s="1"/>
  <c r="A33" i="2"/>
  <c r="H32" i="2"/>
  <c r="I32" i="2" s="1"/>
  <c r="G32" i="2"/>
  <c r="H31" i="2"/>
  <c r="G31" i="2"/>
  <c r="I31" i="2" s="1"/>
  <c r="A31" i="2"/>
  <c r="H30" i="2"/>
  <c r="I30" i="2" s="1"/>
  <c r="G30" i="2"/>
  <c r="H29" i="2"/>
  <c r="G29" i="2"/>
  <c r="I29" i="2" s="1"/>
  <c r="A29" i="2"/>
  <c r="H28" i="2"/>
  <c r="I28" i="2" s="1"/>
  <c r="G28" i="2"/>
  <c r="H27" i="2"/>
  <c r="G27" i="2"/>
  <c r="I27" i="2" s="1"/>
  <c r="A27" i="2"/>
  <c r="H26" i="2"/>
  <c r="I26" i="2" s="1"/>
  <c r="G26" i="2"/>
  <c r="H25" i="2"/>
  <c r="G25" i="2"/>
  <c r="I25" i="2" s="1"/>
  <c r="A25" i="2"/>
  <c r="H24" i="2"/>
  <c r="I24" i="2" s="1"/>
  <c r="G24" i="2"/>
  <c r="H23" i="2"/>
  <c r="G23" i="2"/>
  <c r="I23" i="2" s="1"/>
  <c r="A23" i="2"/>
  <c r="H22" i="2"/>
  <c r="I22" i="2" s="1"/>
  <c r="G22" i="2"/>
  <c r="H21" i="2"/>
  <c r="G21" i="2"/>
  <c r="I21" i="2" s="1"/>
  <c r="A21" i="2"/>
  <c r="H20" i="2"/>
  <c r="I20" i="2" s="1"/>
  <c r="G20" i="2"/>
  <c r="H19" i="2"/>
  <c r="G19" i="2"/>
  <c r="I19" i="2" s="1"/>
  <c r="A19" i="2"/>
  <c r="H18" i="2"/>
  <c r="I18" i="2" s="1"/>
  <c r="G18" i="2"/>
  <c r="H17" i="2"/>
  <c r="G17" i="2"/>
  <c r="I17" i="2" s="1"/>
  <c r="A17" i="2"/>
  <c r="H16" i="2"/>
  <c r="I16" i="2" s="1"/>
  <c r="G16" i="2"/>
  <c r="H15" i="2"/>
  <c r="G15" i="2"/>
  <c r="I15" i="2" s="1"/>
  <c r="A15" i="2"/>
  <c r="H14" i="2"/>
  <c r="I14" i="2" s="1"/>
  <c r="G14" i="2"/>
  <c r="H13" i="2"/>
  <c r="G13" i="2"/>
  <c r="I13" i="2" s="1"/>
  <c r="A13" i="2"/>
  <c r="H12" i="2"/>
  <c r="I12" i="2" s="1"/>
  <c r="G12" i="2"/>
  <c r="H11" i="2"/>
  <c r="G11" i="2"/>
  <c r="I11" i="2" s="1"/>
  <c r="H10" i="2"/>
  <c r="I10" i="2" s="1"/>
  <c r="G10" i="2"/>
  <c r="H9" i="2"/>
  <c r="G9" i="2"/>
  <c r="I9" i="2" s="1"/>
  <c r="H8" i="2"/>
  <c r="I8" i="2" s="1"/>
  <c r="G8" i="2"/>
  <c r="H7" i="2"/>
  <c r="G7" i="2"/>
  <c r="I7" i="2" s="1"/>
  <c r="H6" i="2"/>
  <c r="I6" i="2" s="1"/>
  <c r="G6" i="2"/>
  <c r="H5" i="2"/>
  <c r="G5" i="2"/>
  <c r="I5" i="2" s="1"/>
  <c r="H4" i="2"/>
  <c r="I4" i="2" s="1"/>
  <c r="G4" i="2"/>
  <c r="H3" i="2"/>
  <c r="G3" i="2"/>
  <c r="I3" i="2" s="1"/>
  <c r="A3" i="2"/>
  <c r="H2" i="2"/>
  <c r="I2" i="2" s="1"/>
  <c r="G2" i="2"/>
  <c r="A2" i="2"/>
  <c r="A40" i="2" s="1"/>
  <c r="C33" i="1"/>
  <c r="C20" i="1"/>
  <c r="D58" i="20" l="1"/>
  <c r="A4" i="2"/>
  <c r="A5" i="2" s="1"/>
  <c r="A6" i="2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<sst xmlns="http://schemas.openxmlformats.org/spreadsheetml/2006/main" count="2093" uniqueCount="335">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</sst>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B6" sqref="B6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5201144.1875</v>
      </c>
    </row>
    <row r="8" spans="1:3" ht="15" customHeight="1" x14ac:dyDescent="0.25">
      <c r="B8" s="69" t="s">
        <v>8</v>
      </c>
      <c r="C8" s="32">
        <v>0.629</v>
      </c>
    </row>
    <row r="9" spans="1:3" ht="15" customHeight="1" x14ac:dyDescent="0.25">
      <c r="B9" s="69" t="s">
        <v>9</v>
      </c>
      <c r="C9" s="33">
        <v>0.96</v>
      </c>
    </row>
    <row r="10" spans="1:3" ht="15" customHeight="1" x14ac:dyDescent="0.25">
      <c r="B10" s="69" t="s">
        <v>10</v>
      </c>
      <c r="C10" s="33">
        <v>0.190472507476807</v>
      </c>
    </row>
    <row r="11" spans="1:3" ht="15" customHeight="1" x14ac:dyDescent="0.25">
      <c r="B11" s="69" t="s">
        <v>11</v>
      </c>
      <c r="C11" s="32">
        <v>0.50600000000000001</v>
      </c>
    </row>
    <row r="12" spans="1:3" ht="15" customHeight="1" x14ac:dyDescent="0.25">
      <c r="B12" s="69" t="s">
        <v>12</v>
      </c>
      <c r="C12" s="32">
        <v>0.502</v>
      </c>
    </row>
    <row r="13" spans="1:3" ht="15" customHeight="1" x14ac:dyDescent="0.25">
      <c r="B13" s="69" t="s">
        <v>13</v>
      </c>
      <c r="C13" s="32">
        <v>0.496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0.1333</v>
      </c>
    </row>
    <row r="24" spans="1:3" ht="15" customHeight="1" x14ac:dyDescent="0.25">
      <c r="B24" s="7" t="s">
        <v>22</v>
      </c>
      <c r="C24" s="33">
        <v>0.43609999999999999</v>
      </c>
    </row>
    <row r="25" spans="1:3" ht="15" customHeight="1" x14ac:dyDescent="0.25">
      <c r="B25" s="7" t="s">
        <v>23</v>
      </c>
      <c r="C25" s="33">
        <v>0.33139999999999997</v>
      </c>
    </row>
    <row r="26" spans="1:3" ht="15" customHeight="1" x14ac:dyDescent="0.25">
      <c r="B26" s="7" t="s">
        <v>24</v>
      </c>
      <c r="C26" s="33">
        <v>9.9199999999999997E-2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0.21811351764339099</v>
      </c>
    </row>
    <row r="30" spans="1:3" ht="14.25" customHeight="1" x14ac:dyDescent="0.25">
      <c r="B30" s="15" t="s">
        <v>27</v>
      </c>
      <c r="C30" s="42">
        <v>3.9698062643709703E-2</v>
      </c>
    </row>
    <row r="31" spans="1:3" ht="14.25" customHeight="1" x14ac:dyDescent="0.25">
      <c r="B31" s="15" t="s">
        <v>28</v>
      </c>
      <c r="C31" s="42">
        <v>0.107174733754927</v>
      </c>
    </row>
    <row r="32" spans="1:3" ht="14.25" customHeight="1" x14ac:dyDescent="0.25">
      <c r="B32" s="15" t="s">
        <v>29</v>
      </c>
      <c r="C32" s="42">
        <v>0.63501368595797203</v>
      </c>
    </row>
    <row r="33" spans="1:5" ht="13.2" customHeight="1" x14ac:dyDescent="0.25">
      <c r="B33" s="16" t="s">
        <v>30</v>
      </c>
      <c r="C33" s="98">
        <f>SUM(C29:C32)</f>
        <v>0.99999999999999978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28.546344425529298</v>
      </c>
    </row>
    <row r="38" spans="1:5" ht="15" customHeight="1" x14ac:dyDescent="0.25">
      <c r="B38" s="65" t="s">
        <v>34</v>
      </c>
      <c r="C38" s="94">
        <v>54.773539156784899</v>
      </c>
      <c r="D38" s="5"/>
      <c r="E38" s="6"/>
    </row>
    <row r="39" spans="1:5" ht="15" customHeight="1" x14ac:dyDescent="0.25">
      <c r="B39" s="65" t="s">
        <v>35</v>
      </c>
      <c r="C39" s="94">
        <v>74.248458915955297</v>
      </c>
      <c r="D39" s="5"/>
      <c r="E39" s="5"/>
    </row>
    <row r="40" spans="1:5" ht="15" customHeight="1" x14ac:dyDescent="0.25">
      <c r="B40" s="65" t="s">
        <v>36</v>
      </c>
      <c r="C40" s="94">
        <v>2.89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21.706085259999998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2.6357100000000001E-2</v>
      </c>
      <c r="D45" s="5"/>
    </row>
    <row r="46" spans="1:5" ht="15.75" customHeight="1" x14ac:dyDescent="0.25">
      <c r="B46" s="65" t="s">
        <v>41</v>
      </c>
      <c r="C46" s="33">
        <v>0.13774939999999999</v>
      </c>
      <c r="D46" s="5"/>
    </row>
    <row r="47" spans="1:5" ht="15.75" customHeight="1" x14ac:dyDescent="0.25">
      <c r="B47" s="65" t="s">
        <v>42</v>
      </c>
      <c r="C47" s="33">
        <v>0.25221850000000001</v>
      </c>
      <c r="D47" s="5"/>
      <c r="E47" s="6"/>
    </row>
    <row r="48" spans="1:5" ht="15" customHeight="1" x14ac:dyDescent="0.25">
      <c r="B48" s="65" t="s">
        <v>43</v>
      </c>
      <c r="C48" s="97">
        <v>0.58367499999999994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3.3</v>
      </c>
      <c r="D51" s="5"/>
    </row>
    <row r="52" spans="1:4" ht="15" customHeight="1" x14ac:dyDescent="0.25">
      <c r="B52" s="65" t="s">
        <v>46</v>
      </c>
      <c r="C52" s="35">
        <v>3.3</v>
      </c>
    </row>
    <row r="53" spans="1:4" ht="15.75" customHeight="1" x14ac:dyDescent="0.25">
      <c r="B53" s="65" t="s">
        <v>47</v>
      </c>
      <c r="C53" s="35">
        <v>3.3</v>
      </c>
    </row>
    <row r="54" spans="1:4" ht="15.75" customHeight="1" x14ac:dyDescent="0.25">
      <c r="B54" s="65" t="s">
        <v>48</v>
      </c>
      <c r="C54" s="35">
        <v>3.3</v>
      </c>
    </row>
    <row r="55" spans="1:4" ht="15.75" customHeight="1" x14ac:dyDescent="0.25">
      <c r="B55" s="65" t="s">
        <v>49</v>
      </c>
      <c r="C55" s="35">
        <v>3.3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2.181818181818182E-2</v>
      </c>
    </row>
    <row r="59" spans="1:4" ht="15.75" customHeight="1" x14ac:dyDescent="0.25">
      <c r="B59" s="65" t="s">
        <v>52</v>
      </c>
      <c r="C59" s="32">
        <v>0.44236700000000001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0.138186529999999</v>
      </c>
    </row>
    <row r="63" spans="1:4" ht="15.75" customHeight="1" x14ac:dyDescent="0.25">
      <c r="A63" s="52"/>
    </row>
  </sheetData>
  <sheetProtection algorithmName="SHA-512" hashValue="eQwhegixl60HMlJR8z6uoOe5Yle0I7tFCYzTTXTXuoTGXFwqFGVj7pB7MJpelYSpPLe0niBjlUwsiWzuRkvGKg==" saltValue="j0ihlDInsunWUibZhP+YJ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1232281.382</v>
      </c>
      <c r="C2" s="37">
        <v>1843000</v>
      </c>
      <c r="D2" s="37">
        <v>2829000</v>
      </c>
      <c r="E2" s="37">
        <v>1934000</v>
      </c>
      <c r="F2" s="37">
        <v>1344000</v>
      </c>
      <c r="G2" s="9">
        <f t="shared" ref="G2:G40" si="0">C2+D2+E2+F2</f>
        <v>7950000</v>
      </c>
      <c r="H2" s="9">
        <f t="shared" ref="H2:H40" si="1">(B2 + stillbirth*B2/(1000-stillbirth))/(1-abortion)</f>
        <v>1431389.6173471431</v>
      </c>
      <c r="I2" s="9">
        <f t="shared" ref="I2:I40" si="2">G2-H2</f>
        <v>6518610.3826528564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1255125.6059999999</v>
      </c>
      <c r="C3" s="37">
        <v>1895000</v>
      </c>
      <c r="D3" s="37">
        <v>2929000</v>
      </c>
      <c r="E3" s="37">
        <v>1992000</v>
      </c>
      <c r="F3" s="37">
        <v>1386000</v>
      </c>
      <c r="G3" s="9">
        <f t="shared" si="0"/>
        <v>8202000</v>
      </c>
      <c r="H3" s="9">
        <f t="shared" si="1"/>
        <v>1457924.940794846</v>
      </c>
      <c r="I3" s="9">
        <f t="shared" si="2"/>
        <v>6744075.059205154</v>
      </c>
    </row>
    <row r="4" spans="1:9" ht="15.75" customHeight="1" x14ac:dyDescent="0.25">
      <c r="A4" s="69">
        <f t="shared" si="3"/>
        <v>2023</v>
      </c>
      <c r="B4" s="36">
        <v>1278072.8062</v>
      </c>
      <c r="C4" s="37">
        <v>1947000</v>
      </c>
      <c r="D4" s="37">
        <v>3031000</v>
      </c>
      <c r="E4" s="37">
        <v>2056000</v>
      </c>
      <c r="F4" s="37">
        <v>1429000</v>
      </c>
      <c r="G4" s="9">
        <f t="shared" si="0"/>
        <v>8463000</v>
      </c>
      <c r="H4" s="9">
        <f t="shared" si="1"/>
        <v>1484579.8790202022</v>
      </c>
      <c r="I4" s="9">
        <f t="shared" si="2"/>
        <v>6978420.120979798</v>
      </c>
    </row>
    <row r="5" spans="1:9" ht="15.75" customHeight="1" x14ac:dyDescent="0.25">
      <c r="A5" s="69">
        <f t="shared" si="3"/>
        <v>2024</v>
      </c>
      <c r="B5" s="36">
        <v>1301100.831800001</v>
      </c>
      <c r="C5" s="37">
        <v>1999000</v>
      </c>
      <c r="D5" s="37">
        <v>3137000</v>
      </c>
      <c r="E5" s="37">
        <v>2123000</v>
      </c>
      <c r="F5" s="37">
        <v>1474000</v>
      </c>
      <c r="G5" s="9">
        <f t="shared" si="0"/>
        <v>8733000</v>
      </c>
      <c r="H5" s="9">
        <f t="shared" si="1"/>
        <v>1511328.7021650816</v>
      </c>
      <c r="I5" s="9">
        <f t="shared" si="2"/>
        <v>7221671.2978349179</v>
      </c>
    </row>
    <row r="6" spans="1:9" ht="15.75" customHeight="1" x14ac:dyDescent="0.25">
      <c r="A6" s="69">
        <f t="shared" si="3"/>
        <v>2025</v>
      </c>
      <c r="B6" s="36">
        <v>1324187.5319999999</v>
      </c>
      <c r="C6" s="37">
        <v>2051000</v>
      </c>
      <c r="D6" s="37">
        <v>3243000</v>
      </c>
      <c r="E6" s="37">
        <v>2197000</v>
      </c>
      <c r="F6" s="37">
        <v>1520000</v>
      </c>
      <c r="G6" s="9">
        <f t="shared" si="0"/>
        <v>9011000</v>
      </c>
      <c r="H6" s="9">
        <f t="shared" si="1"/>
        <v>1538145.6803713501</v>
      </c>
      <c r="I6" s="9">
        <f t="shared" si="2"/>
        <v>7472854.3196286503</v>
      </c>
    </row>
    <row r="7" spans="1:9" ht="15.75" customHeight="1" x14ac:dyDescent="0.25">
      <c r="A7" s="69">
        <f t="shared" si="3"/>
        <v>2026</v>
      </c>
      <c r="B7" s="36">
        <v>1346731.0279999999</v>
      </c>
      <c r="C7" s="37">
        <v>2102000</v>
      </c>
      <c r="D7" s="37">
        <v>3347000</v>
      </c>
      <c r="E7" s="37">
        <v>2274000</v>
      </c>
      <c r="F7" s="37">
        <v>1565000</v>
      </c>
      <c r="G7" s="9">
        <f t="shared" si="0"/>
        <v>9288000</v>
      </c>
      <c r="H7" s="9">
        <f t="shared" si="1"/>
        <v>1564331.6851138182</v>
      </c>
      <c r="I7" s="9">
        <f t="shared" si="2"/>
        <v>7723668.3148861816</v>
      </c>
    </row>
    <row r="8" spans="1:9" ht="15.75" customHeight="1" x14ac:dyDescent="0.25">
      <c r="A8" s="69">
        <f t="shared" si="3"/>
        <v>2027</v>
      </c>
      <c r="B8" s="36">
        <v>1369222.1856</v>
      </c>
      <c r="C8" s="37">
        <v>2153000</v>
      </c>
      <c r="D8" s="37">
        <v>3453000</v>
      </c>
      <c r="E8" s="37">
        <v>2356000</v>
      </c>
      <c r="F8" s="37">
        <v>1611000</v>
      </c>
      <c r="G8" s="9">
        <f t="shared" si="0"/>
        <v>9573000</v>
      </c>
      <c r="H8" s="9">
        <f t="shared" si="1"/>
        <v>1590456.8947786011</v>
      </c>
      <c r="I8" s="9">
        <f t="shared" si="2"/>
        <v>7982543.1052213991</v>
      </c>
    </row>
    <row r="9" spans="1:9" ht="15.75" customHeight="1" x14ac:dyDescent="0.25">
      <c r="A9" s="69">
        <f t="shared" si="3"/>
        <v>2028</v>
      </c>
      <c r="B9" s="36">
        <v>1391673.5734000001</v>
      </c>
      <c r="C9" s="37">
        <v>2205000</v>
      </c>
      <c r="D9" s="37">
        <v>3561000</v>
      </c>
      <c r="E9" s="37">
        <v>2444000</v>
      </c>
      <c r="F9" s="37">
        <v>1660000</v>
      </c>
      <c r="G9" s="9">
        <f t="shared" si="0"/>
        <v>9870000</v>
      </c>
      <c r="H9" s="9">
        <f t="shared" si="1"/>
        <v>1616535.908761427</v>
      </c>
      <c r="I9" s="9">
        <f t="shared" si="2"/>
        <v>8253464.0912385732</v>
      </c>
    </row>
    <row r="10" spans="1:9" ht="15.75" customHeight="1" x14ac:dyDescent="0.25">
      <c r="A10" s="69">
        <f t="shared" si="3"/>
        <v>2029</v>
      </c>
      <c r="B10" s="36">
        <v>1414027.8732</v>
      </c>
      <c r="C10" s="37">
        <v>2256000</v>
      </c>
      <c r="D10" s="37">
        <v>3668000</v>
      </c>
      <c r="E10" s="37">
        <v>2536000</v>
      </c>
      <c r="F10" s="37">
        <v>1711000</v>
      </c>
      <c r="G10" s="9">
        <f t="shared" si="0"/>
        <v>10171000</v>
      </c>
      <c r="H10" s="9">
        <f t="shared" si="1"/>
        <v>1642502.1475638449</v>
      </c>
      <c r="I10" s="9">
        <f t="shared" si="2"/>
        <v>8528497.8524361551</v>
      </c>
    </row>
    <row r="11" spans="1:9" ht="15.75" customHeight="1" x14ac:dyDescent="0.25">
      <c r="A11" s="69">
        <f t="shared" si="3"/>
        <v>2030</v>
      </c>
      <c r="B11" s="36">
        <v>1436263.077</v>
      </c>
      <c r="C11" s="37">
        <v>2307000</v>
      </c>
      <c r="D11" s="37">
        <v>3774000</v>
      </c>
      <c r="E11" s="37">
        <v>2631000</v>
      </c>
      <c r="F11" s="37">
        <v>1766000</v>
      </c>
      <c r="G11" s="9">
        <f t="shared" si="0"/>
        <v>10478000</v>
      </c>
      <c r="H11" s="9">
        <f t="shared" si="1"/>
        <v>1668330.0472009082</v>
      </c>
      <c r="I11" s="9">
        <f t="shared" si="2"/>
        <v>8809669.9527990911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2996868.4642154477</v>
      </c>
      <c r="I12" s="9">
        <f t="shared" si="2"/>
        <v>15586800.535784552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3054947.3104211735</v>
      </c>
      <c r="I13" s="9">
        <f t="shared" si="2"/>
        <v>16119632.689578827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3124641.9258680441</v>
      </c>
      <c r="I14" s="9">
        <f t="shared" si="2"/>
        <v>16651614.074131956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3182720.7720737699</v>
      </c>
      <c r="I15" s="9">
        <f t="shared" si="2"/>
        <v>17204007.227926232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59tgFZL193x7msuBksR8VoBDDceM0ljMEU97eRfuYyaaiUCxssW+dtJwfXgClynl6jaJEQjPfJ6uYWkIrUbtHQ==" saltValue="X9Cx/KZG2BxTpXQ8IlmqUw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13" sqref="C13:F1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5.428221969010761E-3</v>
      </c>
    </row>
    <row r="4" spans="1:8" ht="15.75" customHeight="1" x14ac:dyDescent="0.25">
      <c r="B4" s="11" t="s">
        <v>69</v>
      </c>
      <c r="C4" s="38">
        <v>0.19415152397475319</v>
      </c>
    </row>
    <row r="5" spans="1:8" ht="15.75" customHeight="1" x14ac:dyDescent="0.25">
      <c r="B5" s="11" t="s">
        <v>70</v>
      </c>
      <c r="C5" s="38">
        <v>6.8003195648851919E-2</v>
      </c>
    </row>
    <row r="6" spans="1:8" ht="15.75" customHeight="1" x14ac:dyDescent="0.25">
      <c r="B6" s="11" t="s">
        <v>71</v>
      </c>
      <c r="C6" s="38">
        <v>0.27542884800688872</v>
      </c>
    </row>
    <row r="7" spans="1:8" ht="15.75" customHeight="1" x14ac:dyDescent="0.25">
      <c r="B7" s="11" t="s">
        <v>72</v>
      </c>
      <c r="C7" s="38">
        <v>0.29399238896917612</v>
      </c>
    </row>
    <row r="8" spans="1:8" ht="15.75" customHeight="1" x14ac:dyDescent="0.25">
      <c r="B8" s="11" t="s">
        <v>73</v>
      </c>
      <c r="C8" s="38">
        <v>7.2347115483174544E-3</v>
      </c>
    </row>
    <row r="9" spans="1:8" ht="15.75" customHeight="1" x14ac:dyDescent="0.25">
      <c r="B9" s="11" t="s">
        <v>74</v>
      </c>
      <c r="C9" s="38">
        <v>8.2700724276957113E-2</v>
      </c>
    </row>
    <row r="10" spans="1:8" ht="15.75" customHeight="1" x14ac:dyDescent="0.25">
      <c r="B10" s="11" t="s">
        <v>75</v>
      </c>
      <c r="C10" s="38">
        <v>7.3060385606044664E-2</v>
      </c>
    </row>
    <row r="11" spans="1:8" ht="15.75" customHeight="1" x14ac:dyDescent="0.25">
      <c r="B11" s="16" t="s">
        <v>30</v>
      </c>
      <c r="C11" s="98">
        <f>SUM(C3:C10)</f>
        <v>0.99999999999999989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5">
      <c r="B14" s="11" t="s">
        <v>81</v>
      </c>
      <c r="C14" s="38">
        <v>0.10862493472439309</v>
      </c>
      <c r="D14" s="38">
        <v>0.10862493472439309</v>
      </c>
      <c r="E14" s="38">
        <v>0.10862493472439309</v>
      </c>
      <c r="F14" s="38">
        <v>0.10862493472439309</v>
      </c>
    </row>
    <row r="15" spans="1:8" ht="15.75" customHeight="1" x14ac:dyDescent="0.25">
      <c r="B15" s="11" t="s">
        <v>82</v>
      </c>
      <c r="C15" s="38">
        <v>0.16794481305566669</v>
      </c>
      <c r="D15" s="38">
        <v>0.16794481305566669</v>
      </c>
      <c r="E15" s="38">
        <v>0.16794481305566669</v>
      </c>
      <c r="F15" s="38">
        <v>0.16794481305566669</v>
      </c>
    </row>
    <row r="16" spans="1:8" ht="15.75" customHeight="1" x14ac:dyDescent="0.25">
      <c r="B16" s="11" t="s">
        <v>83</v>
      </c>
      <c r="C16" s="38">
        <v>2.3704052017610971E-2</v>
      </c>
      <c r="D16" s="38">
        <v>2.3704052017610971E-2</v>
      </c>
      <c r="E16" s="38">
        <v>2.3704052017610971E-2</v>
      </c>
      <c r="F16" s="38">
        <v>2.3704052017610971E-2</v>
      </c>
    </row>
    <row r="17" spans="1:8" ht="15.75" customHeight="1" x14ac:dyDescent="0.25">
      <c r="B17" s="11" t="s">
        <v>84</v>
      </c>
      <c r="C17" s="38">
        <v>6.0592528518753552E-3</v>
      </c>
      <c r="D17" s="38">
        <v>6.0592528518753552E-3</v>
      </c>
      <c r="E17" s="38">
        <v>6.0592528518753552E-3</v>
      </c>
      <c r="F17" s="38">
        <v>6.0592528518753552E-3</v>
      </c>
    </row>
    <row r="18" spans="1:8" ht="15.75" customHeight="1" x14ac:dyDescent="0.25">
      <c r="B18" s="11" t="s">
        <v>85</v>
      </c>
      <c r="C18" s="38">
        <v>0.20374493797169879</v>
      </c>
      <c r="D18" s="38">
        <v>0.20374493797169879</v>
      </c>
      <c r="E18" s="38">
        <v>0.20374493797169879</v>
      </c>
      <c r="F18" s="38">
        <v>0.20374493797169879</v>
      </c>
    </row>
    <row r="19" spans="1:8" ht="15.75" customHeight="1" x14ac:dyDescent="0.25">
      <c r="B19" s="11" t="s">
        <v>86</v>
      </c>
      <c r="C19" s="38">
        <v>1.645624029020511E-2</v>
      </c>
      <c r="D19" s="38">
        <v>1.645624029020511E-2</v>
      </c>
      <c r="E19" s="38">
        <v>1.645624029020511E-2</v>
      </c>
      <c r="F19" s="38">
        <v>1.645624029020511E-2</v>
      </c>
    </row>
    <row r="20" spans="1:8" ht="15.75" customHeight="1" x14ac:dyDescent="0.25">
      <c r="B20" s="11" t="s">
        <v>87</v>
      </c>
      <c r="C20" s="38">
        <v>0.13287942099899239</v>
      </c>
      <c r="D20" s="38">
        <v>0.13287942099899239</v>
      </c>
      <c r="E20" s="38">
        <v>0.13287942099899239</v>
      </c>
      <c r="F20" s="38">
        <v>0.13287942099899239</v>
      </c>
    </row>
    <row r="21" spans="1:8" ht="15.75" customHeight="1" x14ac:dyDescent="0.25">
      <c r="B21" s="11" t="s">
        <v>88</v>
      </c>
      <c r="C21" s="38">
        <v>8.3966170752960798E-2</v>
      </c>
      <c r="D21" s="38">
        <v>8.3966170752960798E-2</v>
      </c>
      <c r="E21" s="38">
        <v>8.3966170752960798E-2</v>
      </c>
      <c r="F21" s="38">
        <v>8.3966170752960798E-2</v>
      </c>
    </row>
    <row r="22" spans="1:8" ht="15.75" customHeight="1" x14ac:dyDescent="0.25">
      <c r="B22" s="11" t="s">
        <v>89</v>
      </c>
      <c r="C22" s="38">
        <v>0.25662017733659659</v>
      </c>
      <c r="D22" s="38">
        <v>0.25662017733659659</v>
      </c>
      <c r="E22" s="38">
        <v>0.25662017733659659</v>
      </c>
      <c r="F22" s="38">
        <v>0.25662017733659659</v>
      </c>
    </row>
    <row r="23" spans="1:8" ht="15.75" customHeight="1" x14ac:dyDescent="0.25">
      <c r="B23" s="16" t="s">
        <v>30</v>
      </c>
      <c r="C23" s="98">
        <f>SUM(C14:C22)</f>
        <v>0.99999999999999978</v>
      </c>
      <c r="D23" s="98">
        <f>SUM(D14:D22)</f>
        <v>0.99999999999999978</v>
      </c>
      <c r="E23" s="98">
        <f>SUM(E14:E22)</f>
        <v>0.99999999999999978</v>
      </c>
      <c r="F23" s="98">
        <f>SUM(F14:F22)</f>
        <v>0.99999999999999978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6.1259088000000003E-2</v>
      </c>
    </row>
    <row r="27" spans="1:8" ht="15.75" customHeight="1" x14ac:dyDescent="0.25">
      <c r="B27" s="11" t="s">
        <v>92</v>
      </c>
      <c r="C27" s="38">
        <v>1.4566589999999999E-3</v>
      </c>
    </row>
    <row r="28" spans="1:8" ht="15.75" customHeight="1" x14ac:dyDescent="0.25">
      <c r="B28" s="11" t="s">
        <v>93</v>
      </c>
      <c r="C28" s="38">
        <v>0.11299475</v>
      </c>
    </row>
    <row r="29" spans="1:8" ht="15.75" customHeight="1" x14ac:dyDescent="0.25">
      <c r="B29" s="11" t="s">
        <v>94</v>
      </c>
      <c r="C29" s="38">
        <v>9.3433585999999999E-2</v>
      </c>
    </row>
    <row r="30" spans="1:8" ht="15.75" customHeight="1" x14ac:dyDescent="0.25">
      <c r="B30" s="11" t="s">
        <v>95</v>
      </c>
      <c r="C30" s="38">
        <v>0.110914363</v>
      </c>
    </row>
    <row r="31" spans="1:8" ht="15.75" customHeight="1" x14ac:dyDescent="0.25">
      <c r="B31" s="11" t="s">
        <v>96</v>
      </c>
      <c r="C31" s="38">
        <v>3.1485054999999998E-2</v>
      </c>
    </row>
    <row r="32" spans="1:8" ht="15.75" customHeight="1" x14ac:dyDescent="0.25">
      <c r="B32" s="11" t="s">
        <v>97</v>
      </c>
      <c r="C32" s="38">
        <v>8.0639849999999992E-3</v>
      </c>
    </row>
    <row r="33" spans="2:3" ht="15.75" customHeight="1" x14ac:dyDescent="0.25">
      <c r="B33" s="11" t="s">
        <v>98</v>
      </c>
      <c r="C33" s="38">
        <v>2.7219621999999999E-2</v>
      </c>
    </row>
    <row r="34" spans="2:3" ht="15.75" customHeight="1" x14ac:dyDescent="0.25">
      <c r="B34" s="11" t="s">
        <v>99</v>
      </c>
      <c r="C34" s="38">
        <v>0.553172891</v>
      </c>
    </row>
    <row r="35" spans="2:3" ht="15.75" customHeight="1" x14ac:dyDescent="0.25">
      <c r="B35" s="16" t="s">
        <v>30</v>
      </c>
      <c r="C35" s="98">
        <f>SUM(C26:C34)</f>
        <v>0.99999999900000003</v>
      </c>
    </row>
  </sheetData>
  <sheetProtection algorithmName="SHA-512" hashValue="td87MFi//N0oYbQW4FJqL8KHKjtLjyXOQv2Fnj8k3s/V3M5Tjmv2Lswe/OUvHQaRFO7OxnToTfhNe1utLJth+w==" saltValue="PLNJ2vzx4pBzTE1EXYs3lA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0.30214001386432776</v>
      </c>
      <c r="D2" s="99">
        <f>IFERROR(1-_xlfn.NORM.DIST(_xlfn.NORM.INV(SUM(D4:D5), 0, 1) + 1, 0, 1, TRUE), "")</f>
        <v>0.30214001386432776</v>
      </c>
      <c r="E2" s="99">
        <f>IFERROR(1-_xlfn.NORM.DIST(_xlfn.NORM.INV(SUM(E4:E5), 0, 1) + 1, 0, 1, TRUE), "")</f>
        <v>0.28948323399285614</v>
      </c>
      <c r="F2" s="99">
        <f>IFERROR(1-_xlfn.NORM.DIST(_xlfn.NORM.INV(SUM(F4:F5), 0, 1) + 1, 0, 1, TRUE), "")</f>
        <v>0.1851877890557786</v>
      </c>
      <c r="G2" s="99">
        <f>IFERROR(1-_xlfn.NORM.DIST(_xlfn.NORM.INV(SUM(G4:G5), 0, 1) + 1, 0, 1, TRUE), "")</f>
        <v>0.18511165544207764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0.38286626190872125</v>
      </c>
      <c r="D3" s="99">
        <f>IFERROR(_xlfn.NORM.DIST(_xlfn.NORM.INV(SUM(D4:D5), 0, 1) + 1, 0, 1, TRUE) - SUM(D4:D5), "")</f>
        <v>0.38286626190872125</v>
      </c>
      <c r="E3" s="99">
        <f>IFERROR(_xlfn.NORM.DIST(_xlfn.NORM.INV(SUM(E4:E5), 0, 1) + 1, 0, 1, TRUE) - SUM(E4:E5), "")</f>
        <v>0.38239482074518882</v>
      </c>
      <c r="F3" s="99">
        <f>IFERROR(_xlfn.NORM.DIST(_xlfn.NORM.INV(SUM(F4:F5), 0, 1) + 1, 0, 1, TRUE) - SUM(F4:F5), "")</f>
        <v>0.35631876960091441</v>
      </c>
      <c r="G3" s="99">
        <f>IFERROR(_xlfn.NORM.DIST(_xlfn.NORM.INV(SUM(G4:G5), 0, 1) + 1, 0, 1, TRUE) - SUM(G4:G5), "")</f>
        <v>0.35628178849999237</v>
      </c>
    </row>
    <row r="4" spans="1:15" ht="15.75" customHeight="1" x14ac:dyDescent="0.25">
      <c r="B4" s="69" t="s">
        <v>104</v>
      </c>
      <c r="C4" s="39">
        <v>0.146249949932098</v>
      </c>
      <c r="D4" s="39">
        <v>0.146249949932098</v>
      </c>
      <c r="E4" s="39">
        <v>0.16680602729320501</v>
      </c>
      <c r="F4" s="39">
        <v>0.235637992620468</v>
      </c>
      <c r="G4" s="39">
        <v>0.24798773229122201</v>
      </c>
    </row>
    <row r="5" spans="1:15" ht="15.75" customHeight="1" x14ac:dyDescent="0.25">
      <c r="B5" s="69" t="s">
        <v>105</v>
      </c>
      <c r="C5" s="39">
        <v>0.16874377429485299</v>
      </c>
      <c r="D5" s="39">
        <v>0.16874377429485299</v>
      </c>
      <c r="E5" s="39">
        <v>0.16131591796875</v>
      </c>
      <c r="F5" s="39">
        <v>0.22285544872283899</v>
      </c>
      <c r="G5" s="39">
        <v>0.21061882376670801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0.58418214066079932</v>
      </c>
      <c r="D8" s="99">
        <f>IFERROR(1-_xlfn.NORM.DIST(_xlfn.NORM.INV(SUM(D10:D11), 0, 1) + 1, 0, 1, TRUE), "")</f>
        <v>0.58418214066079932</v>
      </c>
      <c r="E8" s="99">
        <f>IFERROR(1-_xlfn.NORM.DIST(_xlfn.NORM.INV(SUM(E10:E11), 0, 1) + 1, 0, 1, TRUE), "")</f>
        <v>0.60648097654576538</v>
      </c>
      <c r="F8" s="99">
        <f>IFERROR(1-_xlfn.NORM.DIST(_xlfn.NORM.INV(SUM(F10:F11), 0, 1) + 1, 0, 1, TRUE), "")</f>
        <v>0.64048954826760496</v>
      </c>
      <c r="G8" s="99">
        <f>IFERROR(1-_xlfn.NORM.DIST(_xlfn.NORM.INV(SUM(G10:G11), 0, 1) + 1, 0, 1, TRUE), "")</f>
        <v>0.78801272841862968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0.30317726241298837</v>
      </c>
      <c r="D9" s="99">
        <f>IFERROR(_xlfn.NORM.DIST(_xlfn.NORM.INV(SUM(D10:D11), 0, 1) + 1, 0, 1, TRUE) - SUM(D10:D11), "")</f>
        <v>0.30317726241298837</v>
      </c>
      <c r="E9" s="99">
        <f>IFERROR(_xlfn.NORM.DIST(_xlfn.NORM.INV(SUM(E10:E11), 0, 1) + 1, 0, 1, TRUE) - SUM(E10:E11), "")</f>
        <v>0.29150499778096439</v>
      </c>
      <c r="F9" s="99">
        <f>IFERROR(_xlfn.NORM.DIST(_xlfn.NORM.INV(SUM(F10:F11), 0, 1) + 1, 0, 1, TRUE) - SUM(F10:F11), "")</f>
        <v>0.272558719096897</v>
      </c>
      <c r="G9" s="99">
        <f>IFERROR(_xlfn.NORM.DIST(_xlfn.NORM.INV(SUM(G10:G11), 0, 1) + 1, 0, 1, TRUE) - SUM(G10:G11), "")</f>
        <v>0.17602100470342102</v>
      </c>
    </row>
    <row r="10" spans="1:15" ht="15.75" customHeight="1" x14ac:dyDescent="0.25">
      <c r="B10" s="69" t="s">
        <v>109</v>
      </c>
      <c r="C10" s="39">
        <v>6.4764164388179793E-2</v>
      </c>
      <c r="D10" s="39">
        <v>6.4764164388179793E-2</v>
      </c>
      <c r="E10" s="39">
        <v>7.1766361594200093E-2</v>
      </c>
      <c r="F10" s="39">
        <v>4.9995202571153599E-2</v>
      </c>
      <c r="G10" s="39">
        <v>2.2535217925906199E-2</v>
      </c>
    </row>
    <row r="11" spans="1:15" ht="15.75" customHeight="1" x14ac:dyDescent="0.25">
      <c r="B11" s="69" t="s">
        <v>110</v>
      </c>
      <c r="C11" s="39">
        <v>4.7876432538032497E-2</v>
      </c>
      <c r="D11" s="39">
        <v>4.7876432538032497E-2</v>
      </c>
      <c r="E11" s="39">
        <v>3.0247664079070102E-2</v>
      </c>
      <c r="F11" s="39">
        <v>3.6956530064344399E-2</v>
      </c>
      <c r="G11" s="39">
        <v>1.34310489520431E-2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0.81311313574999999</v>
      </c>
      <c r="D14" s="40">
        <v>0.80806199841699988</v>
      </c>
      <c r="E14" s="40">
        <v>0.80806199841699988</v>
      </c>
      <c r="F14" s="40">
        <v>0.66652422919499998</v>
      </c>
      <c r="G14" s="40">
        <v>0.66652422919499998</v>
      </c>
      <c r="H14" s="41">
        <v>0.50700000000000001</v>
      </c>
      <c r="I14" s="41">
        <v>0.50700000000000001</v>
      </c>
      <c r="J14" s="41">
        <v>0.50700000000000001</v>
      </c>
      <c r="K14" s="41">
        <v>0.50700000000000001</v>
      </c>
      <c r="L14" s="41">
        <v>0.51100000000000001</v>
      </c>
      <c r="M14" s="41">
        <v>0.51100000000000001</v>
      </c>
      <c r="N14" s="41">
        <v>0.51100000000000001</v>
      </c>
      <c r="O14" s="41">
        <v>0.51100000000000001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0.35969441852232026</v>
      </c>
      <c r="D15" s="99">
        <f t="shared" si="0"/>
        <v>0.35745996205373298</v>
      </c>
      <c r="E15" s="99">
        <f t="shared" si="0"/>
        <v>0.35745996205373298</v>
      </c>
      <c r="F15" s="99">
        <f t="shared" si="0"/>
        <v>0.29484832369630454</v>
      </c>
      <c r="G15" s="99">
        <f t="shared" si="0"/>
        <v>0.29484832369630454</v>
      </c>
      <c r="H15" s="99">
        <f t="shared" si="0"/>
        <v>0.224280069</v>
      </c>
      <c r="I15" s="99">
        <f t="shared" si="0"/>
        <v>0.224280069</v>
      </c>
      <c r="J15" s="99">
        <f t="shared" si="0"/>
        <v>0.224280069</v>
      </c>
      <c r="K15" s="99">
        <f t="shared" si="0"/>
        <v>0.224280069</v>
      </c>
      <c r="L15" s="99">
        <f t="shared" si="0"/>
        <v>0.22604953700000002</v>
      </c>
      <c r="M15" s="99">
        <f t="shared" si="0"/>
        <v>0.22604953700000002</v>
      </c>
      <c r="N15" s="99">
        <f t="shared" si="0"/>
        <v>0.22604953700000002</v>
      </c>
      <c r="O15" s="99">
        <f t="shared" si="0"/>
        <v>0.22604953700000002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w6cq8WBQPG4V3O3oEQK8MovICXrKeuZiAJ5DbXmpf48olf+bDVv24KPVPAdLJnawceWP08xvLTNg4Y+pvQKJSw==" saltValue="CiQcIJtsPjF4LibalgYv9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0.76308631896972701</v>
      </c>
      <c r="D2" s="39">
        <v>0.52076729999999993</v>
      </c>
      <c r="E2" s="39"/>
      <c r="F2" s="39"/>
      <c r="G2" s="39"/>
    </row>
    <row r="3" spans="1:7" x14ac:dyDescent="0.25">
      <c r="B3" s="78" t="s">
        <v>120</v>
      </c>
      <c r="C3" s="39">
        <v>0.17048904299736001</v>
      </c>
      <c r="D3" s="39">
        <v>0.24915860000000001</v>
      </c>
      <c r="E3" s="39"/>
      <c r="F3" s="39"/>
      <c r="G3" s="39"/>
    </row>
    <row r="4" spans="1:7" x14ac:dyDescent="0.25">
      <c r="B4" s="78" t="s">
        <v>121</v>
      </c>
      <c r="C4" s="39">
        <v>3.27778831124306E-2</v>
      </c>
      <c r="D4" s="39">
        <v>0.20150290000000001</v>
      </c>
      <c r="E4" s="39">
        <v>0.95825624465942394</v>
      </c>
      <c r="F4" s="39">
        <v>0.74703902006149303</v>
      </c>
      <c r="G4" s="39"/>
    </row>
    <row r="5" spans="1:7" x14ac:dyDescent="0.25">
      <c r="B5" s="78" t="s">
        <v>122</v>
      </c>
      <c r="C5" s="100">
        <v>3.3646784722805002E-2</v>
      </c>
      <c r="D5" s="100">
        <v>2.8571149334311499E-2</v>
      </c>
      <c r="E5" s="100">
        <f>1-E2-E3-E4</f>
        <v>4.1743755340576061E-2</v>
      </c>
      <c r="F5" s="100">
        <f>1-F2-F3-F4</f>
        <v>0.25296097993850697</v>
      </c>
      <c r="G5" s="100">
        <f>1-G2-G3-G4</f>
        <v>1</v>
      </c>
    </row>
  </sheetData>
  <sheetProtection algorithmName="SHA-512" hashValue="U/eS5v7EXSmAn00lfyjl9tBmHxRjgMnb8NecugK1krTq5/YkdxYj/DYAILZvXsoYcLRWrFQles/NKKedqqZ2PQ==" saltValue="XQM2gTttGm0dcEf0MOxgG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eEaq4hwW/7e1l0vgbDNS3fajfYElkaGLTQrhaGPWzfbsDZQA6uUfkYbekVlUjlGgels2B0wd9wD+0wcAuUqrEw==" saltValue="tMrFjEneTaTJqXNQIQdQtg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ColWidth="8.88671875"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2LOBj/YpdhPHKw+5sgkLSzz2VLKrC3x/aNw1L8Ryv1vsmfbhBw9S3GiII73SlR0WhBuo5PwFCWEkyaHS0i9FUA==" saltValue="nzThz533uEgQeDoJWgS2q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poui83KaCBAoKYyXFS/EBJrduA72lo3izQaITvLoutcBuutY6Xaf0EMEYDdZP5CtZYUtsOsa4m4nsQ56ifyN1A==" saltValue="RHpP1NO8c7Y3zlqmzK+AM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XHIUVwXG2IIwH1pYQNEOoouQVVv5UB2RghLIfz0GSfVSCAgUf0tXcaQIjxcFSK7CzBrJxKfLku1n2lMB2Itehg==" saltValue="VwWo/otmT96NRdsZ1OFKe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0.41702498816686601</v>
      </c>
      <c r="C2" s="43">
        <v>0.95</v>
      </c>
      <c r="D2" s="86">
        <v>34.033844527775358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44.617032551597681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38.206933042564401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0.1519870889777773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0.12922644590719601</v>
      </c>
      <c r="C10" s="43">
        <v>0.95</v>
      </c>
      <c r="D10" s="86">
        <v>14.142094420718051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0.12922644590719601</v>
      </c>
      <c r="C11" s="43">
        <v>0.95</v>
      </c>
      <c r="D11" s="86">
        <v>14.142094420718051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0.12922644590719601</v>
      </c>
      <c r="C12" s="43">
        <v>0.95</v>
      </c>
      <c r="D12" s="86">
        <v>14.142094420718051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0.12922644590719601</v>
      </c>
      <c r="C13" s="43">
        <v>0.95</v>
      </c>
      <c r="D13" s="86">
        <v>14.142094420718051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0.12922644590719601</v>
      </c>
      <c r="C14" s="43">
        <v>0.95</v>
      </c>
      <c r="D14" s="86">
        <v>14.142094420718051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0.12922644590719601</v>
      </c>
      <c r="C15" s="43">
        <v>0.95</v>
      </c>
      <c r="D15" s="86">
        <v>14.142094420718051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0.19837160627123551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0.52117340000000001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0.64</v>
      </c>
      <c r="C18" s="43">
        <v>0.95</v>
      </c>
      <c r="D18" s="86">
        <v>0.9940340129549281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0.9940340129549281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0.69754189999999994</v>
      </c>
      <c r="C21" s="43">
        <v>0.95</v>
      </c>
      <c r="D21" s="86">
        <v>1.127818304100318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24.08118649042526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4.6291754106690286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0.17632394394010001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0.100788555956215</v>
      </c>
      <c r="C27" s="43">
        <v>0.95</v>
      </c>
      <c r="D27" s="86">
        <v>20.451035195022751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0.29360294645275498</v>
      </c>
      <c r="C29" s="43">
        <v>0.95</v>
      </c>
      <c r="D29" s="86">
        <v>58.881752232190657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1.6730405983662171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1E-3</v>
      </c>
      <c r="C32" s="43">
        <v>0.95</v>
      </c>
      <c r="D32" s="86">
        <v>0.36248454583155942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0.45039051060000002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0.6872687999999999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0.1538649</v>
      </c>
      <c r="C38" s="43">
        <v>0.95</v>
      </c>
      <c r="D38" s="86">
        <v>3.086800264655738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0.35567218406213802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nMZB9ovAFO8B6IQhBGOAqg00zzy15zLrtl3PBbou6tAufSumMP0ikp4zdFCq9uqRdk6zzbDk0lPImj8QHfizfA==" saltValue="77WUXacvqusnBje/6AdDY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Qyb5nuWFJHgXcyxWXRKwdgsoxA8ylaiP/78nsQ2BisB6jAeGqVR24k4nS5zAxp9cLx+fcxwhJYFQTPYl17BjXw==" saltValue="YaiEOdA/S7OEIsnB9aqBl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yz4/ms8nwmcuHGbCXOJxw6LaoKSBXDutxKNbvnn/bkfwJzp6IRsgJnUHaLDDkV6FFCAJJ1AvER51s9WHa6PSCA==" saltValue="qi9HbfEB45btUXc3D/Ae/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3.3</v>
      </c>
      <c r="C2" s="13">
        <f>'Données pop de l''année de ref'!C52</f>
        <v>3.3</v>
      </c>
      <c r="D2" s="13">
        <f>'Données pop de l''année de ref'!C53</f>
        <v>3.3</v>
      </c>
      <c r="E2" s="13">
        <f>'Données pop de l''année de ref'!C54</f>
        <v>3.3</v>
      </c>
      <c r="F2" s="13">
        <f>'Données pop de l''année de ref'!C55</f>
        <v>3.3</v>
      </c>
    </row>
    <row r="3" spans="1:6" ht="15.75" customHeight="1" x14ac:dyDescent="0.25">
      <c r="A3" s="78" t="s">
        <v>203</v>
      </c>
      <c r="B3" s="13">
        <f>frac_mam_1month * 2.6</f>
        <v>0.16838682740926747</v>
      </c>
      <c r="C3" s="13">
        <f>frac_mam_1_5months * 2.6</f>
        <v>0.16838682740926747</v>
      </c>
      <c r="D3" s="13">
        <f>frac_mam_6_11months * 2.6</f>
        <v>0.18659254014492024</v>
      </c>
      <c r="E3" s="13">
        <f>frac_mam_12_23months * 2.6</f>
        <v>0.12998752668499935</v>
      </c>
      <c r="F3" s="13">
        <f>frac_mam_24_59months * 2.6</f>
        <v>5.8591566607356121E-2</v>
      </c>
    </row>
    <row r="4" spans="1:6" ht="15.75" customHeight="1" x14ac:dyDescent="0.25">
      <c r="A4" s="78" t="s">
        <v>204</v>
      </c>
      <c r="B4" s="13">
        <f>frac_sam_1month * 2.6</f>
        <v>0.1244787245988845</v>
      </c>
      <c r="C4" s="13">
        <f>frac_sam_1_5months * 2.6</f>
        <v>0.1244787245988845</v>
      </c>
      <c r="D4" s="13">
        <f>frac_sam_6_11months * 2.6</f>
        <v>7.8643926605582268E-2</v>
      </c>
      <c r="E4" s="13">
        <f>frac_sam_12_23months * 2.6</f>
        <v>9.6086978167295445E-2</v>
      </c>
      <c r="F4" s="13">
        <f>frac_sam_24_59months * 2.6</f>
        <v>3.4920727275312063E-2</v>
      </c>
    </row>
  </sheetData>
  <sheetProtection algorithmName="SHA-512" hashValue="0cbPhgles/35rIWmE2TMXQeZfi4gPcq1teBriYUgp9j4gdt/8+3SMAtl55q5Q9pct173YkhG+D7mZF5OsMM7Nw==" saltValue="/Lo83NDeBoTjXhBhNk4/I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0.629</v>
      </c>
      <c r="E2" s="47">
        <f>food_insecure</f>
        <v>0.629</v>
      </c>
      <c r="F2" s="47">
        <f>food_insecure</f>
        <v>0.629</v>
      </c>
      <c r="G2" s="47">
        <f>food_insecure</f>
        <v>0.629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0.629</v>
      </c>
      <c r="F5" s="47">
        <f>food_insecure</f>
        <v>0.629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7.2000000000000008E-2</v>
      </c>
      <c r="D7" s="47">
        <f>diarrhoea_1_5mo*frac_diarrhea_severe</f>
        <v>7.2000000000000008E-2</v>
      </c>
      <c r="E7" s="47">
        <f>diarrhoea_6_11mo*frac_diarrhea_severe</f>
        <v>7.2000000000000008E-2</v>
      </c>
      <c r="F7" s="47">
        <f>diarrhoea_12_23mo*frac_diarrhea_severe</f>
        <v>7.2000000000000008E-2</v>
      </c>
      <c r="G7" s="47">
        <f>diarrhoea_24_59mo*frac_diarrhea_severe</f>
        <v>7.2000000000000008E-2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0.629</v>
      </c>
      <c r="F8" s="47">
        <f>food_insecure</f>
        <v>0.629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0.629</v>
      </c>
      <c r="F9" s="47">
        <f>food_insecure</f>
        <v>0.629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0.502</v>
      </c>
      <c r="E10" s="47">
        <f>IF(ISBLANK(comm_deliv), frac_children_health_facility,1)</f>
        <v>0.502</v>
      </c>
      <c r="F10" s="47">
        <f>IF(ISBLANK(comm_deliv), frac_children_health_facility,1)</f>
        <v>0.502</v>
      </c>
      <c r="G10" s="47">
        <f>IF(ISBLANK(comm_deliv), frac_children_health_facility,1)</f>
        <v>0.502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7.2000000000000008E-2</v>
      </c>
      <c r="D12" s="47">
        <f>diarrhoea_1_5mo*frac_diarrhea_severe</f>
        <v>7.2000000000000008E-2</v>
      </c>
      <c r="E12" s="47">
        <f>diarrhoea_6_11mo*frac_diarrhea_severe</f>
        <v>7.2000000000000008E-2</v>
      </c>
      <c r="F12" s="47">
        <f>diarrhoea_12_23mo*frac_diarrhea_severe</f>
        <v>7.2000000000000008E-2</v>
      </c>
      <c r="G12" s="47">
        <f>diarrhoea_24_59mo*frac_diarrhea_severe</f>
        <v>7.2000000000000008E-2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0.629</v>
      </c>
      <c r="I15" s="47">
        <f>food_insecure</f>
        <v>0.629</v>
      </c>
      <c r="J15" s="47">
        <f>food_insecure</f>
        <v>0.629</v>
      </c>
      <c r="K15" s="47">
        <f>food_insecure</f>
        <v>0.629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0.50600000000000001</v>
      </c>
      <c r="I18" s="47">
        <f>frac_PW_health_facility</f>
        <v>0.50600000000000001</v>
      </c>
      <c r="J18" s="47">
        <f>frac_PW_health_facility</f>
        <v>0.50600000000000001</v>
      </c>
      <c r="K18" s="47">
        <f>frac_PW_health_facility</f>
        <v>0.50600000000000001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0.96</v>
      </c>
      <c r="I19" s="47">
        <f>frac_malaria_risk</f>
        <v>0.96</v>
      </c>
      <c r="J19" s="47">
        <f>frac_malaria_risk</f>
        <v>0.96</v>
      </c>
      <c r="K19" s="47">
        <f>frac_malaria_risk</f>
        <v>0.96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0.496</v>
      </c>
      <c r="M24" s="47">
        <f>famplan_unmet_need</f>
        <v>0.496</v>
      </c>
      <c r="N24" s="47">
        <f>famplan_unmet_need</f>
        <v>0.496</v>
      </c>
      <c r="O24" s="47">
        <f>famplan_unmet_need</f>
        <v>0.496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0.50359895782375308</v>
      </c>
      <c r="M25" s="47">
        <f>(1-food_insecure)*(0.49)+food_insecure*(0.7)</f>
        <v>0.62209000000000003</v>
      </c>
      <c r="N25" s="47">
        <f>(1-food_insecure)*(0.49)+food_insecure*(0.7)</f>
        <v>0.62209000000000003</v>
      </c>
      <c r="O25" s="47">
        <f>(1-food_insecure)*(0.49)+food_insecure*(0.7)</f>
        <v>0.62209000000000003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0.21582812478160848</v>
      </c>
      <c r="M26" s="47">
        <f>(1-food_insecure)*(0.21)+food_insecure*(0.3)</f>
        <v>0.26661000000000001</v>
      </c>
      <c r="N26" s="47">
        <f>(1-food_insecure)*(0.21)+food_insecure*(0.3)</f>
        <v>0.26661000000000001</v>
      </c>
      <c r="O26" s="47">
        <f>(1-food_insecure)*(0.21)+food_insecure*(0.3)</f>
        <v>0.26661000000000001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9.0100409917831373E-2</v>
      </c>
      <c r="M27" s="47">
        <f>(1-food_insecure)*(0.3)</f>
        <v>0.1113</v>
      </c>
      <c r="N27" s="47">
        <f>(1-food_insecure)*(0.3)</f>
        <v>0.1113</v>
      </c>
      <c r="O27" s="47">
        <f>(1-food_insecure)*(0.3)</f>
        <v>0.1113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0.190472507476807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0.96</v>
      </c>
      <c r="D34" s="47">
        <f t="shared" si="3"/>
        <v>0.96</v>
      </c>
      <c r="E34" s="47">
        <f t="shared" si="3"/>
        <v>0.96</v>
      </c>
      <c r="F34" s="47">
        <f t="shared" si="3"/>
        <v>0.96</v>
      </c>
      <c r="G34" s="47">
        <f t="shared" si="3"/>
        <v>0.96</v>
      </c>
      <c r="H34" s="47">
        <f t="shared" si="3"/>
        <v>0.96</v>
      </c>
      <c r="I34" s="47">
        <f t="shared" si="3"/>
        <v>0.96</v>
      </c>
      <c r="J34" s="47">
        <f t="shared" si="3"/>
        <v>0.96</v>
      </c>
      <c r="K34" s="47">
        <f t="shared" si="3"/>
        <v>0.96</v>
      </c>
      <c r="L34" s="47">
        <f t="shared" si="3"/>
        <v>0.96</v>
      </c>
      <c r="M34" s="47">
        <f t="shared" si="3"/>
        <v>0.96</v>
      </c>
      <c r="N34" s="47">
        <f t="shared" si="3"/>
        <v>0.96</v>
      </c>
      <c r="O34" s="47">
        <f t="shared" si="3"/>
        <v>0.96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LKDG1D/LvR440iDGcYsh4ZuAgJKIwzoxygG9ZFx6CkD4SUDY+r++IIuqNETmozCU7c9x0jip0x37dMO0Q/RlDw==" saltValue="H6yAZe4Zy5CCM7j+BbRdr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2O4m0WXTD9DFJY09SNnRWEPLg4jSDsXp7FoZxv0/P3ZgGhgoj34PdxBH7j7EY9ne7ABuD1Etr8Riu2jbKz+rFw==" saltValue="R60W6Mnm0PJCZ/ugLecmn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tc5Dc+rj4+qS9sFTcLbHTZENeLnVT2mVZ0MaD2SdguumJeNH9GV4OgWUseVEl2C0cExpjwoLkBcK+bgQft9Gig==" saltValue="2yD9n5At1XXbLIAjeU4mC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5PYa2zm1r4/9GPXtrUnRbiGk9BCIdyh+2UGQCce7EftubCRYq9PG1RPIWPh8uVt4XtELWK/OcCYIiMpzyhA17A==" saltValue="9vmNRAE3QlGabf+uPWwx3w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aCxXe5vwZOf0qXV1QGsIcBTMw9eephIdMh0qC0mrjM/pv/5mPW7txC23aFHpj4mM7E4EI2jZXTDAGRUhNgMMGA==" saltValue="tfnGRLgUku5FK2z4m2lA6A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5SNpA1/HPzCbzlrUBzj8whfKZ4t3vdXeuP0XoS0SDZNp17FFywDOg8Z3QrtO/JYepe2FsA0lrJj3zdueIm2Tog==" saltValue="+/OKp618tncFKoeAhRnYj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8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8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8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8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8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8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RTr4YZRu8YgEhwPv+AHrSbFfDBSY4RyMZjpGsfANknFZnbqk8IoT2YkbMvh96sgywM/9htRw6ycs96Ng0+qUwg==" saltValue="wGHiKLNQ4tNRiisLHkSyaw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73L0fVO8LMo+kDtmJhCju+UvrRENvcMghbtG2DIDoYoUueGHh3fnDbQJi93zW/L+JF+NeqcCLX2VRrj6zAPLZQ==" saltValue="D65V9WpNDEG+yFkenC+9x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customHeight="1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customHeight="1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customHeight="1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customHeight="1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customHeight="1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dGG8XXi7a+jL4CoFf/FukHStbtAQ5tz+hS1o5HZEed6GAwWJuE/GjC3rEDInTRD3DQe3jqnF+oAnKPtKDhSv5w==" saltValue="SK0Xtc8MCMxxAk6I1mdbV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94d3F9twXAARU74Ouuuh8fEcC6eZgpkUZp687NJ38x2YVhL2dE2zBZdCmodoJstZgJwIBrOe9DMBftEtpjmIQQ==" saltValue="c/a7gIaGENrGAw+CEemeY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211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316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211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316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211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316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211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316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211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316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211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316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211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316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211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316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211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316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211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316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211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316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211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316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211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316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211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316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211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316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211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316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211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316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211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316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q8XKjg5CQxyChNG9SjU60kVeTRx2UYBbhiLJlXZtfHq+DNvg+6dM4y6161arbLjO1ms61KPKYxq/P1dNI5kYPA==" saltValue="9IdfLMP8UyssZTYZWsiJy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317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318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319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320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321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322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0ZkIG0xXH27VS56XXDI7tKEqXHOUT4KGKqx85Syc8w7Kgfsi7Xl2kpCXOqylV2yUF9V9Q/WY4UMm/95NitvrDQ==" saltValue="rejMo134z258eD+42Wlar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323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324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325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326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327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328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329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330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79hDzam5WrL+oEjr5RoCdypb/zTML8BczRMNPRyYMX0yM2Ea7KKOGGuZHRW9CtkihZvBEMo5zmsY9K/kEpcgRA==" saltValue="03OiLDi5JhJXmtLK47Qmo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9" zoomScale="70" zoomScaleNormal="70" workbookViewId="0">
      <selection activeCell="D2" sqref="D2:H53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331</v>
      </c>
      <c r="C1" s="76" t="s">
        <v>332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316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333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334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316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334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316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334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316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334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316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334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316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334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316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334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316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334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316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334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316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333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316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333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316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333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316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333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334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316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333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334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316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333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334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316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333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334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316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333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334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316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333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334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316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333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334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316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333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316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333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316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333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325</v>
      </c>
      <c r="B55" s="93"/>
      <c r="C55" s="93"/>
    </row>
    <row r="56" spans="1:8" x14ac:dyDescent="0.25">
      <c r="A56" s="52" t="s">
        <v>156</v>
      </c>
      <c r="B56" s="52" t="s">
        <v>331</v>
      </c>
      <c r="C56" s="76" t="s">
        <v>332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316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333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334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316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334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316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334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316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334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316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334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316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334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316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334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316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334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316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334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316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333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316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333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316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333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316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333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334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316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333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334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316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333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334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316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333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334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316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333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334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316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333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334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316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333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334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316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333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316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333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316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333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328</v>
      </c>
      <c r="B110" s="93"/>
      <c r="C110" s="93"/>
    </row>
    <row r="111" spans="1:8" x14ac:dyDescent="0.25">
      <c r="A111" s="52" t="s">
        <v>156</v>
      </c>
      <c r="B111" s="52" t="s">
        <v>331</v>
      </c>
      <c r="C111" s="76" t="s">
        <v>332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316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333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334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316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334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316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334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316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334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316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334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316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334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316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334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316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334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316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334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316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333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316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333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316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333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316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333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334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316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333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334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316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333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334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316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333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334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316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333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334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316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333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334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316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333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334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316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333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316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333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316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333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Vc3h5nfsJK7iKj49GvDqPkcO6snZ2y/0hmiXrz/+9w3374wL+zU3/rVLwkzcpJ60HMtYAkmmBNM7lBXhlqJ/eA==" saltValue="pb1HI+/ZQEE9+vi6WEG+v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331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316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333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316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333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316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333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325</v>
      </c>
    </row>
    <row r="10" spans="1:8" x14ac:dyDescent="0.25">
      <c r="A10" s="70" t="s">
        <v>156</v>
      </c>
      <c r="B10" s="70" t="s">
        <v>331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316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333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316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333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316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333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328</v>
      </c>
    </row>
    <row r="19" spans="1:7" x14ac:dyDescent="0.25">
      <c r="A19" s="70" t="s">
        <v>156</v>
      </c>
      <c r="B19" s="70" t="s">
        <v>331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316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333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316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333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316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333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C81VN1Mc5RLvIRGWFGIm1pzzxDAMBVfb7WYh+/stGexEzTwMsu/gsOFGKIboSEX4YpLXnfvLcARoIns1yxXt1A==" saltValue="elbTiNfSG9apWmhzoT5lz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2023-01-25T00:11:04Z</dcterms:modified>
</cp:coreProperties>
</file>