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1AB152A-B567-4F28-A5FB-66B6179B0BE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<sst xmlns="http://schemas.openxmlformats.org/spreadsheetml/2006/main" count="2093" uniqueCount="335">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</sst>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698098.6171875</v>
      </c>
    </row>
    <row r="8" spans="1:3" ht="15" customHeight="1" x14ac:dyDescent="0.25">
      <c r="B8" s="69" t="s">
        <v>8</v>
      </c>
      <c r="C8" s="32">
        <v>0.06</v>
      </c>
    </row>
    <row r="9" spans="1:3" ht="15" customHeight="1" x14ac:dyDescent="0.25">
      <c r="B9" s="69" t="s">
        <v>9</v>
      </c>
      <c r="C9" s="33">
        <v>0.41</v>
      </c>
    </row>
    <row r="10" spans="1:3" ht="15" customHeight="1" x14ac:dyDescent="0.25">
      <c r="B10" s="69" t="s">
        <v>10</v>
      </c>
      <c r="C10" s="33">
        <v>0.248721008300781</v>
      </c>
    </row>
    <row r="11" spans="1:3" ht="15" customHeight="1" x14ac:dyDescent="0.25">
      <c r="B11" s="69" t="s">
        <v>11</v>
      </c>
      <c r="C11" s="32">
        <v>0.63</v>
      </c>
    </row>
    <row r="12" spans="1:3" ht="15" customHeight="1" x14ac:dyDescent="0.25">
      <c r="B12" s="69" t="s">
        <v>12</v>
      </c>
      <c r="C12" s="32">
        <v>0.33700000000000002</v>
      </c>
    </row>
    <row r="13" spans="1:3" ht="15" customHeight="1" x14ac:dyDescent="0.25">
      <c r="B13" s="69" t="s">
        <v>13</v>
      </c>
      <c r="C13" s="32">
        <v>0.69599999999999995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8.6800000000000002E-2</v>
      </c>
    </row>
    <row r="24" spans="1:3" ht="15" customHeight="1" x14ac:dyDescent="0.25">
      <c r="B24" s="7" t="s">
        <v>22</v>
      </c>
      <c r="C24" s="33">
        <v>0.40960000000000002</v>
      </c>
    </row>
    <row r="25" spans="1:3" ht="15" customHeight="1" x14ac:dyDescent="0.25">
      <c r="B25" s="7" t="s">
        <v>23</v>
      </c>
      <c r="C25" s="33">
        <v>0.3861</v>
      </c>
    </row>
    <row r="26" spans="1:3" ht="15" customHeight="1" x14ac:dyDescent="0.25">
      <c r="B26" s="7" t="s">
        <v>24</v>
      </c>
      <c r="C26" s="33">
        <v>0.11749999999999999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0.218296980023063</v>
      </c>
    </row>
    <row r="30" spans="1:3" ht="14.25" customHeight="1" x14ac:dyDescent="0.25">
      <c r="B30" s="15" t="s">
        <v>27</v>
      </c>
      <c r="C30" s="42">
        <v>7.5314268126941905E-2</v>
      </c>
    </row>
    <row r="31" spans="1:3" ht="14.25" customHeight="1" x14ac:dyDescent="0.25">
      <c r="B31" s="15" t="s">
        <v>28</v>
      </c>
      <c r="C31" s="42">
        <v>0.11900000583134</v>
      </c>
    </row>
    <row r="32" spans="1:3" ht="14.25" customHeight="1" x14ac:dyDescent="0.25">
      <c r="B32" s="15" t="s">
        <v>29</v>
      </c>
      <c r="C32" s="42">
        <v>0.58738874601865598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32.0155464710502</v>
      </c>
    </row>
    <row r="38" spans="1:5" ht="15" customHeight="1" x14ac:dyDescent="0.25">
      <c r="B38" s="65" t="s">
        <v>34</v>
      </c>
      <c r="C38" s="94">
        <v>50.139646693294203</v>
      </c>
      <c r="D38" s="5"/>
      <c r="E38" s="6"/>
    </row>
    <row r="39" spans="1:5" ht="15" customHeight="1" x14ac:dyDescent="0.25">
      <c r="B39" s="65" t="s">
        <v>35</v>
      </c>
      <c r="C39" s="94">
        <v>72.891799487629001</v>
      </c>
      <c r="D39" s="5"/>
      <c r="E39" s="5"/>
    </row>
    <row r="40" spans="1:5" ht="15" customHeight="1" x14ac:dyDescent="0.25">
      <c r="B40" s="65" t="s">
        <v>36</v>
      </c>
      <c r="C40" s="94">
        <v>7.66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21.972940340000001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2.4746899999999999E-2</v>
      </c>
      <c r="D45" s="5"/>
    </row>
    <row r="46" spans="1:5" ht="15.75" customHeight="1" x14ac:dyDescent="0.25">
      <c r="B46" s="65" t="s">
        <v>41</v>
      </c>
      <c r="C46" s="33">
        <v>0.12944320000000001</v>
      </c>
      <c r="D46" s="5"/>
    </row>
    <row r="47" spans="1:5" ht="15.75" customHeight="1" x14ac:dyDescent="0.25">
      <c r="B47" s="65" t="s">
        <v>42</v>
      </c>
      <c r="C47" s="33">
        <v>0.4452586</v>
      </c>
      <c r="D47" s="5"/>
      <c r="E47" s="6"/>
    </row>
    <row r="48" spans="1:5" ht="15" customHeight="1" x14ac:dyDescent="0.25">
      <c r="B48" s="65" t="s">
        <v>43</v>
      </c>
      <c r="C48" s="97">
        <v>0.4005513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0.46489900000000001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0.48802019692295001</v>
      </c>
      <c r="C2" s="43">
        <v>0.95</v>
      </c>
      <c r="D2" s="86">
        <v>38.62528988805559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42.537295647752792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110.19016266168551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0.32331103772677311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0.15122622712969999</v>
      </c>
      <c r="C10" s="43">
        <v>0.95</v>
      </c>
      <c r="D10" s="86">
        <v>13.555007547773389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0.15122622712969999</v>
      </c>
      <c r="C11" s="43">
        <v>0.95</v>
      </c>
      <c r="D11" s="86">
        <v>13.555007547773389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0.15122622712969999</v>
      </c>
      <c r="C12" s="43">
        <v>0.95</v>
      </c>
      <c r="D12" s="86">
        <v>13.555007547773389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0.15122622712969999</v>
      </c>
      <c r="C13" s="43">
        <v>0.95</v>
      </c>
      <c r="D13" s="86">
        <v>13.555007547773389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0.15122622712969999</v>
      </c>
      <c r="C14" s="43">
        <v>0.95</v>
      </c>
      <c r="D14" s="86">
        <v>13.555007547773389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0.15122622712969999</v>
      </c>
      <c r="C15" s="43">
        <v>0.95</v>
      </c>
      <c r="D15" s="86">
        <v>13.555007547773389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0.29420413411251728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0.35393819999999998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0.85</v>
      </c>
      <c r="C18" s="43">
        <v>0.95</v>
      </c>
      <c r="D18" s="86">
        <v>2.6318398731448558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2.6318398731448558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0.6934672999999999</v>
      </c>
      <c r="C21" s="43">
        <v>0.95</v>
      </c>
      <c r="D21" s="86">
        <v>2.6406398741845729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23.139270869051948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4.4706017011529111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0.23311215349785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0.117947011140854</v>
      </c>
      <c r="C27" s="43">
        <v>0.95</v>
      </c>
      <c r="D27" s="86">
        <v>19.566466311857429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0.48435489770669699</v>
      </c>
      <c r="C29" s="43">
        <v>0.95</v>
      </c>
      <c r="D29" s="86">
        <v>69.361036760483032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2.3542264782021709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3.2070103300000001E-3</v>
      </c>
      <c r="C32" s="43">
        <v>0.95</v>
      </c>
      <c r="D32" s="86">
        <v>0.5823003013277992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0.20152539014816301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0.48945420000000001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7.2178980000000004E-3</v>
      </c>
      <c r="C38" s="43">
        <v>0.95</v>
      </c>
      <c r="D38" s="86">
        <v>4.013212652439103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0.52278321114456705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0.28894760608673181</v>
      </c>
      <c r="C3" s="13">
        <f>frac_mam_1_5months * 2.6</f>
        <v>0.28894760608673181</v>
      </c>
      <c r="D3" s="13">
        <f>frac_mam_6_11months * 2.6</f>
        <v>0.36325698792934463</v>
      </c>
      <c r="E3" s="13">
        <f>frac_mam_12_23months * 2.6</f>
        <v>0.33430142402648944</v>
      </c>
      <c r="F3" s="13">
        <f>frac_mam_24_59months * 2.6</f>
        <v>0.27161837667226862</v>
      </c>
    </row>
    <row r="4" spans="1:6" ht="15.75" customHeight="1" x14ac:dyDescent="0.25">
      <c r="A4" s="78" t="s">
        <v>204</v>
      </c>
      <c r="B4" s="13">
        <f>frac_sam_1month * 2.6</f>
        <v>0.18084483891725553</v>
      </c>
      <c r="C4" s="13">
        <f>frac_sam_1_5months * 2.6</f>
        <v>0.18084483891725553</v>
      </c>
      <c r="D4" s="13">
        <f>frac_sam_6_11months * 2.6</f>
        <v>0.14923163950443269</v>
      </c>
      <c r="E4" s="13">
        <f>frac_sam_12_23months * 2.6</f>
        <v>0.11104912534356108</v>
      </c>
      <c r="F4" s="13">
        <f>frac_sam_24_59months * 2.6</f>
        <v>6.3516569510102289E-2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0.06</v>
      </c>
      <c r="E2" s="47">
        <f>food_insecure</f>
        <v>0.06</v>
      </c>
      <c r="F2" s="47">
        <f>food_insecure</f>
        <v>0.06</v>
      </c>
      <c r="G2" s="47">
        <f>food_insecure</f>
        <v>0.06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0.06</v>
      </c>
      <c r="F5" s="47">
        <f>food_insecure</f>
        <v>0.06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0.06</v>
      </c>
      <c r="F8" s="47">
        <f>food_insecure</f>
        <v>0.06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0.06</v>
      </c>
      <c r="F9" s="47">
        <f>food_insecure</f>
        <v>0.06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0.33700000000000002</v>
      </c>
      <c r="E10" s="47">
        <f>IF(ISBLANK(comm_deliv), frac_children_health_facility,1)</f>
        <v>0.33700000000000002</v>
      </c>
      <c r="F10" s="47">
        <f>IF(ISBLANK(comm_deliv), frac_children_health_facility,1)</f>
        <v>0.33700000000000002</v>
      </c>
      <c r="G10" s="47">
        <f>IF(ISBLANK(comm_deliv), frac_children_health_facility,1)</f>
        <v>0.33700000000000002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0.06</v>
      </c>
      <c r="I15" s="47">
        <f>food_insecure</f>
        <v>0.06</v>
      </c>
      <c r="J15" s="47">
        <f>food_insecure</f>
        <v>0.06</v>
      </c>
      <c r="K15" s="47">
        <f>food_insecure</f>
        <v>0.06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0.63</v>
      </c>
      <c r="I18" s="47">
        <f>frac_PW_health_facility</f>
        <v>0.63</v>
      </c>
      <c r="J18" s="47">
        <f>frac_PW_health_facility</f>
        <v>0.63</v>
      </c>
      <c r="K18" s="47">
        <f>frac_PW_health_facility</f>
        <v>0.63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0.41</v>
      </c>
      <c r="I19" s="47">
        <f>frac_malaria_risk</f>
        <v>0.41</v>
      </c>
      <c r="J19" s="47">
        <f>frac_malaria_risk</f>
        <v>0.41</v>
      </c>
      <c r="K19" s="47">
        <f>frac_malaria_risk</f>
        <v>0.41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0.69599999999999995</v>
      </c>
      <c r="M24" s="47">
        <f>famplan_unmet_need</f>
        <v>0.69599999999999995</v>
      </c>
      <c r="N24" s="47">
        <f>famplan_unmet_need</f>
        <v>0.69599999999999995</v>
      </c>
      <c r="O24" s="47">
        <f>famplan_unmet_need</f>
        <v>0.69599999999999995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0.3775928212280274</v>
      </c>
      <c r="M25" s="47">
        <f>(1-food_insecure)*(0.49)+food_insecure*(0.7)</f>
        <v>0.50259999999999994</v>
      </c>
      <c r="N25" s="47">
        <f>(1-food_insecure)*(0.49)+food_insecure*(0.7)</f>
        <v>0.50259999999999994</v>
      </c>
      <c r="O25" s="47">
        <f>(1-food_insecure)*(0.49)+food_insecure*(0.7)</f>
        <v>0.50259999999999994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0.16182549481201175</v>
      </c>
      <c r="M26" s="47">
        <f>(1-food_insecure)*(0.21)+food_insecure*(0.3)</f>
        <v>0.21539999999999998</v>
      </c>
      <c r="N26" s="47">
        <f>(1-food_insecure)*(0.21)+food_insecure*(0.3)</f>
        <v>0.21539999999999998</v>
      </c>
      <c r="O26" s="47">
        <f>(1-food_insecure)*(0.21)+food_insecure*(0.3)</f>
        <v>0.21539999999999998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0.21186067565917974</v>
      </c>
      <c r="M27" s="47">
        <f>(1-food_insecure)*(0.3)</f>
        <v>0.28199999999999997</v>
      </c>
      <c r="N27" s="47">
        <f>(1-food_insecure)*(0.3)</f>
        <v>0.28199999999999997</v>
      </c>
      <c r="O27" s="47">
        <f>(1-food_insecure)*(0.3)</f>
        <v>0.28199999999999997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0.24872100830078098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0.41</v>
      </c>
      <c r="D34" s="47">
        <f t="shared" si="3"/>
        <v>0.41</v>
      </c>
      <c r="E34" s="47">
        <f t="shared" si="3"/>
        <v>0.41</v>
      </c>
      <c r="F34" s="47">
        <f t="shared" si="3"/>
        <v>0.41</v>
      </c>
      <c r="G34" s="47">
        <f t="shared" si="3"/>
        <v>0.41</v>
      </c>
      <c r="H34" s="47">
        <f t="shared" si="3"/>
        <v>0.41</v>
      </c>
      <c r="I34" s="47">
        <f t="shared" si="3"/>
        <v>0.41</v>
      </c>
      <c r="J34" s="47">
        <f t="shared" si="3"/>
        <v>0.41</v>
      </c>
      <c r="K34" s="47">
        <f t="shared" si="3"/>
        <v>0.41</v>
      </c>
      <c r="L34" s="47">
        <f t="shared" si="3"/>
        <v>0.41</v>
      </c>
      <c r="M34" s="47">
        <f t="shared" si="3"/>
        <v>0.41</v>
      </c>
      <c r="N34" s="47">
        <f t="shared" si="3"/>
        <v>0.41</v>
      </c>
      <c r="O34" s="47">
        <f t="shared" si="3"/>
        <v>0.41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157522.26</v>
      </c>
      <c r="C2" s="37">
        <v>245000</v>
      </c>
      <c r="D2" s="37">
        <v>409000</v>
      </c>
      <c r="E2" s="37">
        <v>315000</v>
      </c>
      <c r="F2" s="37">
        <v>228000</v>
      </c>
      <c r="G2" s="9">
        <f t="shared" ref="G2:G40" si="0">C2+D2+E2+F2</f>
        <v>1197000</v>
      </c>
      <c r="H2" s="9">
        <f t="shared" ref="H2:H40" si="1">(B2 + stillbirth*B2/(1000-stillbirth))/(1-abortion)</f>
        <v>183024.1468411379</v>
      </c>
      <c r="I2" s="9">
        <f t="shared" ref="I2:I40" si="2">G2-H2</f>
        <v>1013975.8531588621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159651.79300000001</v>
      </c>
      <c r="C3" s="37">
        <v>251000</v>
      </c>
      <c r="D3" s="37">
        <v>419000</v>
      </c>
      <c r="E3" s="37">
        <v>323000</v>
      </c>
      <c r="F3" s="37">
        <v>235000</v>
      </c>
      <c r="G3" s="9">
        <f t="shared" si="0"/>
        <v>1228000</v>
      </c>
      <c r="H3" s="9">
        <f t="shared" si="1"/>
        <v>185498.43816031431</v>
      </c>
      <c r="I3" s="9">
        <f t="shared" si="2"/>
        <v>1042501.5618396857</v>
      </c>
    </row>
    <row r="4" spans="1:9" ht="15.75" customHeight="1" x14ac:dyDescent="0.25">
      <c r="A4" s="69">
        <f t="shared" si="3"/>
        <v>2023</v>
      </c>
      <c r="B4" s="36">
        <v>161750.51999999999</v>
      </c>
      <c r="C4" s="37">
        <v>258000</v>
      </c>
      <c r="D4" s="37">
        <v>428000</v>
      </c>
      <c r="E4" s="37">
        <v>331000</v>
      </c>
      <c r="F4" s="37">
        <v>243000</v>
      </c>
      <c r="G4" s="9">
        <f t="shared" si="0"/>
        <v>1260000</v>
      </c>
      <c r="H4" s="9">
        <f t="shared" si="1"/>
        <v>187936.93617721339</v>
      </c>
      <c r="I4" s="9">
        <f t="shared" si="2"/>
        <v>1072063.0638227866</v>
      </c>
    </row>
    <row r="5" spans="1:9" ht="15.75" customHeight="1" x14ac:dyDescent="0.25">
      <c r="A5" s="69">
        <f t="shared" si="3"/>
        <v>2024</v>
      </c>
      <c r="B5" s="36">
        <v>163785.22399999999</v>
      </c>
      <c r="C5" s="37">
        <v>264000</v>
      </c>
      <c r="D5" s="37">
        <v>439000</v>
      </c>
      <c r="E5" s="37">
        <v>341000</v>
      </c>
      <c r="F5" s="37">
        <v>250000</v>
      </c>
      <c r="G5" s="9">
        <f t="shared" si="0"/>
        <v>1294000</v>
      </c>
      <c r="H5" s="9">
        <f t="shared" si="1"/>
        <v>190301.04626345928</v>
      </c>
      <c r="I5" s="9">
        <f t="shared" si="2"/>
        <v>1103698.9537365406</v>
      </c>
    </row>
    <row r="6" spans="1:9" ht="15.75" customHeight="1" x14ac:dyDescent="0.25">
      <c r="A6" s="69">
        <f t="shared" si="3"/>
        <v>2025</v>
      </c>
      <c r="B6" s="36">
        <v>165754.783</v>
      </c>
      <c r="C6" s="37">
        <v>271000</v>
      </c>
      <c r="D6" s="37">
        <v>449000</v>
      </c>
      <c r="E6" s="37">
        <v>349000</v>
      </c>
      <c r="F6" s="37">
        <v>258000</v>
      </c>
      <c r="G6" s="9">
        <f t="shared" si="0"/>
        <v>1327000</v>
      </c>
      <c r="H6" s="9">
        <f t="shared" si="1"/>
        <v>192589.46477414016</v>
      </c>
      <c r="I6" s="9">
        <f t="shared" si="2"/>
        <v>1134410.5352258598</v>
      </c>
    </row>
    <row r="7" spans="1:9" ht="15.75" customHeight="1" x14ac:dyDescent="0.25">
      <c r="A7" s="69">
        <f t="shared" si="3"/>
        <v>2026</v>
      </c>
      <c r="B7" s="36">
        <v>167946.519</v>
      </c>
      <c r="C7" s="37">
        <v>278000</v>
      </c>
      <c r="D7" s="37">
        <v>460000</v>
      </c>
      <c r="E7" s="37">
        <v>358000</v>
      </c>
      <c r="F7" s="37">
        <v>266000</v>
      </c>
      <c r="G7" s="9">
        <f t="shared" si="0"/>
        <v>1362000</v>
      </c>
      <c r="H7" s="9">
        <f t="shared" si="1"/>
        <v>195136.02937714299</v>
      </c>
      <c r="I7" s="9">
        <f t="shared" si="2"/>
        <v>1166863.9706228571</v>
      </c>
    </row>
    <row r="8" spans="1:9" ht="15.75" customHeight="1" x14ac:dyDescent="0.25">
      <c r="A8" s="69">
        <f t="shared" si="3"/>
        <v>2027</v>
      </c>
      <c r="B8" s="36">
        <v>170054.535</v>
      </c>
      <c r="C8" s="37">
        <v>285000</v>
      </c>
      <c r="D8" s="37">
        <v>471000</v>
      </c>
      <c r="E8" s="37">
        <v>366000</v>
      </c>
      <c r="F8" s="37">
        <v>274000</v>
      </c>
      <c r="G8" s="9">
        <f t="shared" si="0"/>
        <v>1396000</v>
      </c>
      <c r="H8" s="9">
        <f t="shared" si="1"/>
        <v>197585.32022611549</v>
      </c>
      <c r="I8" s="9">
        <f t="shared" si="2"/>
        <v>1198414.6797738846</v>
      </c>
    </row>
    <row r="9" spans="1:9" ht="15.75" customHeight="1" x14ac:dyDescent="0.25">
      <c r="A9" s="69">
        <f t="shared" si="3"/>
        <v>2028</v>
      </c>
      <c r="B9" s="36">
        <v>172138.09700000001</v>
      </c>
      <c r="C9" s="37">
        <v>293000</v>
      </c>
      <c r="D9" s="37">
        <v>482000</v>
      </c>
      <c r="E9" s="37">
        <v>376000</v>
      </c>
      <c r="F9" s="37">
        <v>281000</v>
      </c>
      <c r="G9" s="9">
        <f t="shared" si="0"/>
        <v>1432000</v>
      </c>
      <c r="H9" s="9">
        <f t="shared" si="1"/>
        <v>200006.19812261482</v>
      </c>
      <c r="I9" s="9">
        <f t="shared" si="2"/>
        <v>1231993.8018773852</v>
      </c>
    </row>
    <row r="10" spans="1:9" ht="15.75" customHeight="1" x14ac:dyDescent="0.25">
      <c r="A10" s="69">
        <f t="shared" si="3"/>
        <v>2029</v>
      </c>
      <c r="B10" s="36">
        <v>174165.962</v>
      </c>
      <c r="C10" s="37">
        <v>300000</v>
      </c>
      <c r="D10" s="37">
        <v>495000</v>
      </c>
      <c r="E10" s="37">
        <v>385000</v>
      </c>
      <c r="F10" s="37">
        <v>290000</v>
      </c>
      <c r="G10" s="9">
        <f t="shared" si="0"/>
        <v>1470000</v>
      </c>
      <c r="H10" s="9">
        <f t="shared" si="1"/>
        <v>202362.36201674637</v>
      </c>
      <c r="I10" s="9">
        <f t="shared" si="2"/>
        <v>1267637.6379832537</v>
      </c>
    </row>
    <row r="11" spans="1:9" ht="15.75" customHeight="1" x14ac:dyDescent="0.25">
      <c r="A11" s="69">
        <f t="shared" si="3"/>
        <v>2030</v>
      </c>
      <c r="B11" s="36">
        <v>176166.15299999999</v>
      </c>
      <c r="C11" s="37">
        <v>306000</v>
      </c>
      <c r="D11" s="37">
        <v>507000</v>
      </c>
      <c r="E11" s="37">
        <v>395000</v>
      </c>
      <c r="F11" s="37">
        <v>298000</v>
      </c>
      <c r="G11" s="9">
        <f t="shared" si="0"/>
        <v>1506000</v>
      </c>
      <c r="H11" s="9">
        <f t="shared" si="1"/>
        <v>204686.37166017274</v>
      </c>
      <c r="I11" s="9">
        <f t="shared" si="2"/>
        <v>1301313.6283398273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2997686.1609916957</v>
      </c>
      <c r="I12" s="9">
        <f t="shared" si="2"/>
        <v>15585982.839008305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3055780.854034171</v>
      </c>
      <c r="I13" s="9">
        <f t="shared" si="2"/>
        <v>16118799.145965829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3125494.4856851404</v>
      </c>
      <c r="I14" s="9">
        <f t="shared" si="2"/>
        <v>16650761.51431486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3183589.1787276152</v>
      </c>
      <c r="I15" s="9">
        <f t="shared" si="2"/>
        <v>17203138.821272384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6.8467064895010908E-3</v>
      </c>
    </row>
    <row r="4" spans="1:8" ht="15.75" customHeight="1" x14ac:dyDescent="0.25">
      <c r="B4" s="11" t="s">
        <v>69</v>
      </c>
      <c r="C4" s="38">
        <v>0.1895353147750557</v>
      </c>
    </row>
    <row r="5" spans="1:8" ht="15.75" customHeight="1" x14ac:dyDescent="0.25">
      <c r="B5" s="11" t="s">
        <v>70</v>
      </c>
      <c r="C5" s="38">
        <v>6.4452775507581245E-2</v>
      </c>
    </row>
    <row r="6" spans="1:8" ht="15.75" customHeight="1" x14ac:dyDescent="0.25">
      <c r="B6" s="11" t="s">
        <v>71</v>
      </c>
      <c r="C6" s="38">
        <v>0.2192177453658273</v>
      </c>
    </row>
    <row r="7" spans="1:8" ht="15.75" customHeight="1" x14ac:dyDescent="0.25">
      <c r="B7" s="11" t="s">
        <v>72</v>
      </c>
      <c r="C7" s="38">
        <v>0.38587272561120428</v>
      </c>
    </row>
    <row r="8" spans="1:8" ht="15.75" customHeight="1" x14ac:dyDescent="0.25">
      <c r="B8" s="11" t="s">
        <v>73</v>
      </c>
      <c r="C8" s="38">
        <v>1.1037351323594621E-2</v>
      </c>
    </row>
    <row r="9" spans="1:8" ht="15.75" customHeight="1" x14ac:dyDescent="0.25">
      <c r="B9" s="11" t="s">
        <v>74</v>
      </c>
      <c r="C9" s="38">
        <v>5.9415258833576103E-2</v>
      </c>
    </row>
    <row r="10" spans="1:8" ht="15.75" customHeight="1" x14ac:dyDescent="0.25">
      <c r="B10" s="11" t="s">
        <v>75</v>
      </c>
      <c r="C10" s="38">
        <v>6.3622122093659805E-2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0.15617849932832939</v>
      </c>
      <c r="D14" s="38">
        <v>0.15617849932832939</v>
      </c>
      <c r="E14" s="38">
        <v>0.15617849932832939</v>
      </c>
      <c r="F14" s="38">
        <v>0.15617849932832939</v>
      </c>
    </row>
    <row r="15" spans="1:8" ht="15.75" customHeight="1" x14ac:dyDescent="0.25">
      <c r="B15" s="11" t="s">
        <v>82</v>
      </c>
      <c r="C15" s="38">
        <v>0.22377375202563471</v>
      </c>
      <c r="D15" s="38">
        <v>0.22377375202563471</v>
      </c>
      <c r="E15" s="38">
        <v>0.22377375202563471</v>
      </c>
      <c r="F15" s="38">
        <v>0.22377375202563471</v>
      </c>
    </row>
    <row r="16" spans="1:8" ht="15.75" customHeight="1" x14ac:dyDescent="0.25">
      <c r="B16" s="11" t="s">
        <v>83</v>
      </c>
      <c r="C16" s="38">
        <v>2.707523313656722E-2</v>
      </c>
      <c r="D16" s="38">
        <v>2.707523313656722E-2</v>
      </c>
      <c r="E16" s="38">
        <v>2.707523313656722E-2</v>
      </c>
      <c r="F16" s="38">
        <v>2.707523313656722E-2</v>
      </c>
    </row>
    <row r="17" spans="1:8" ht="15.75" customHeight="1" x14ac:dyDescent="0.25">
      <c r="B17" s="11" t="s">
        <v>84</v>
      </c>
      <c r="C17" s="38">
        <v>2.4753519085460619E-2</v>
      </c>
      <c r="D17" s="38">
        <v>2.4753519085460619E-2</v>
      </c>
      <c r="E17" s="38">
        <v>2.4753519085460619E-2</v>
      </c>
      <c r="F17" s="38">
        <v>2.4753519085460619E-2</v>
      </c>
    </row>
    <row r="18" spans="1:8" ht="15.75" customHeight="1" x14ac:dyDescent="0.25">
      <c r="B18" s="11" t="s">
        <v>85</v>
      </c>
      <c r="C18" s="38">
        <v>7.6349248196806538E-2</v>
      </c>
      <c r="D18" s="38">
        <v>7.6349248196806538E-2</v>
      </c>
      <c r="E18" s="38">
        <v>7.6349248196806538E-2</v>
      </c>
      <c r="F18" s="38">
        <v>7.6349248196806538E-2</v>
      </c>
    </row>
    <row r="19" spans="1:8" ht="15.75" customHeight="1" x14ac:dyDescent="0.25">
      <c r="B19" s="11" t="s">
        <v>86</v>
      </c>
      <c r="C19" s="38">
        <v>1.9481688894902281E-2</v>
      </c>
      <c r="D19" s="38">
        <v>1.9481688894902281E-2</v>
      </c>
      <c r="E19" s="38">
        <v>1.9481688894902281E-2</v>
      </c>
      <c r="F19" s="38">
        <v>1.9481688894902281E-2</v>
      </c>
    </row>
    <row r="20" spans="1:8" ht="15.75" customHeight="1" x14ac:dyDescent="0.25">
      <c r="B20" s="11" t="s">
        <v>87</v>
      </c>
      <c r="C20" s="38">
        <v>9.734361290627087E-3</v>
      </c>
      <c r="D20" s="38">
        <v>9.734361290627087E-3</v>
      </c>
      <c r="E20" s="38">
        <v>9.734361290627087E-3</v>
      </c>
      <c r="F20" s="38">
        <v>9.734361290627087E-3</v>
      </c>
    </row>
    <row r="21" spans="1:8" ht="15.75" customHeight="1" x14ac:dyDescent="0.25">
      <c r="B21" s="11" t="s">
        <v>88</v>
      </c>
      <c r="C21" s="38">
        <v>0.10678854459897449</v>
      </c>
      <c r="D21" s="38">
        <v>0.10678854459897449</v>
      </c>
      <c r="E21" s="38">
        <v>0.10678854459897449</v>
      </c>
      <c r="F21" s="38">
        <v>0.10678854459897449</v>
      </c>
    </row>
    <row r="22" spans="1:8" ht="15.75" customHeight="1" x14ac:dyDescent="0.25">
      <c r="B22" s="11" t="s">
        <v>89</v>
      </c>
      <c r="C22" s="38">
        <v>0.35586515344269742</v>
      </c>
      <c r="D22" s="38">
        <v>0.35586515344269742</v>
      </c>
      <c r="E22" s="38">
        <v>0.35586515344269742</v>
      </c>
      <c r="F22" s="38">
        <v>0.35586515344269742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8.8735101999999996E-2</v>
      </c>
    </row>
    <row r="27" spans="1:8" ht="15.75" customHeight="1" x14ac:dyDescent="0.25">
      <c r="B27" s="11" t="s">
        <v>92</v>
      </c>
      <c r="C27" s="38">
        <v>8.4480660000000006E-3</v>
      </c>
    </row>
    <row r="28" spans="1:8" ht="15.75" customHeight="1" x14ac:dyDescent="0.25">
      <c r="B28" s="11" t="s">
        <v>93</v>
      </c>
      <c r="C28" s="38">
        <v>0.157003631</v>
      </c>
    </row>
    <row r="29" spans="1:8" ht="15.75" customHeight="1" x14ac:dyDescent="0.25">
      <c r="B29" s="11" t="s">
        <v>94</v>
      </c>
      <c r="C29" s="38">
        <v>0.16959068199999999</v>
      </c>
    </row>
    <row r="30" spans="1:8" ht="15.75" customHeight="1" x14ac:dyDescent="0.25">
      <c r="B30" s="11" t="s">
        <v>95</v>
      </c>
      <c r="C30" s="38">
        <v>0.105430197</v>
      </c>
    </row>
    <row r="31" spans="1:8" ht="15.75" customHeight="1" x14ac:dyDescent="0.25">
      <c r="B31" s="11" t="s">
        <v>96</v>
      </c>
      <c r="C31" s="38">
        <v>0.109065357</v>
      </c>
    </row>
    <row r="32" spans="1:8" ht="15.75" customHeight="1" x14ac:dyDescent="0.25">
      <c r="B32" s="11" t="s">
        <v>97</v>
      </c>
      <c r="C32" s="38">
        <v>1.8742332E-2</v>
      </c>
    </row>
    <row r="33" spans="2:3" ht="15.75" customHeight="1" x14ac:dyDescent="0.25">
      <c r="B33" s="11" t="s">
        <v>98</v>
      </c>
      <c r="C33" s="38">
        <v>8.4799848999999997E-2</v>
      </c>
    </row>
    <row r="34" spans="2:3" ht="15.75" customHeight="1" x14ac:dyDescent="0.25">
      <c r="B34" s="11" t="s">
        <v>99</v>
      </c>
      <c r="C34" s="38">
        <v>0.25818478299999997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0.56097827862410699</v>
      </c>
      <c r="D2" s="99">
        <f>IFERROR(1-_xlfn.NORM.DIST(_xlfn.NORM.INV(SUM(D4:D5), 0, 1) + 1, 0, 1, TRUE), "")</f>
        <v>0.56097827862410699</v>
      </c>
      <c r="E2" s="99">
        <f>IFERROR(1-_xlfn.NORM.DIST(_xlfn.NORM.INV(SUM(E4:E5), 0, 1) + 1, 0, 1, TRUE), "")</f>
        <v>0.55891267098379371</v>
      </c>
      <c r="F2" s="99">
        <f>IFERROR(1-_xlfn.NORM.DIST(_xlfn.NORM.INV(SUM(F4:F5), 0, 1) + 1, 0, 1, TRUE), "")</f>
        <v>0.32666130363320289</v>
      </c>
      <c r="G2" s="99">
        <f>IFERROR(1-_xlfn.NORM.DIST(_xlfn.NORM.INV(SUM(G4:G5), 0, 1) + 1, 0, 1, TRUE), "")</f>
        <v>0.29224119822421102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0.31465885032505841</v>
      </c>
      <c r="D3" s="99">
        <f>IFERROR(_xlfn.NORM.DIST(_xlfn.NORM.INV(SUM(D4:D5), 0, 1) + 1, 0, 1, TRUE) - SUM(D4:D5), "")</f>
        <v>0.31465885032505841</v>
      </c>
      <c r="E3" s="99">
        <f>IFERROR(_xlfn.NORM.DIST(_xlfn.NORM.INV(SUM(E4:E5), 0, 1) + 1, 0, 1, TRUE) - SUM(E4:E5), "")</f>
        <v>0.31564701087879904</v>
      </c>
      <c r="F3" s="99">
        <f>IFERROR(_xlfn.NORM.DIST(_xlfn.NORM.INV(SUM(F4:F5), 0, 1) + 1, 0, 1, TRUE) - SUM(F4:F5), "")</f>
        <v>0.38247004151965214</v>
      </c>
      <c r="G3" s="99">
        <f>IFERROR(_xlfn.NORM.DIST(_xlfn.NORM.INV(SUM(G4:G5), 0, 1) + 1, 0, 1, TRUE) - SUM(G4:G5), "")</f>
        <v>0.38253875334820697</v>
      </c>
    </row>
    <row r="4" spans="1:15" ht="15.75" customHeight="1" x14ac:dyDescent="0.25">
      <c r="B4" s="69" t="s">
        <v>104</v>
      </c>
      <c r="C4" s="39">
        <v>7.9503074288368197E-2</v>
      </c>
      <c r="D4" s="39">
        <v>7.9503074288368197E-2</v>
      </c>
      <c r="E4" s="39">
        <v>8.4543883800506592E-2</v>
      </c>
      <c r="F4" s="39">
        <v>0.178987741470337</v>
      </c>
      <c r="G4" s="39">
        <v>0.18635369837284099</v>
      </c>
    </row>
    <row r="5" spans="1:15" ht="15.75" customHeight="1" x14ac:dyDescent="0.25">
      <c r="B5" s="69" t="s">
        <v>105</v>
      </c>
      <c r="C5" s="39">
        <v>4.4859796762466403E-2</v>
      </c>
      <c r="D5" s="39">
        <v>4.4859796762466403E-2</v>
      </c>
      <c r="E5" s="39">
        <v>4.0896434336900697E-2</v>
      </c>
      <c r="F5" s="39">
        <v>0.111880913376808</v>
      </c>
      <c r="G5" s="39">
        <v>0.13886635005474099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0.4652327997097303</v>
      </c>
      <c r="D8" s="99">
        <f>IFERROR(1-_xlfn.NORM.DIST(_xlfn.NORM.INV(SUM(D10:D11), 0, 1) + 1, 0, 1, TRUE), "")</f>
        <v>0.4652327997097303</v>
      </c>
      <c r="E8" s="99">
        <f>IFERROR(1-_xlfn.NORM.DIST(_xlfn.NORM.INV(SUM(E10:E11), 0, 1) + 1, 0, 1, TRUE), "")</f>
        <v>0.44116574697060162</v>
      </c>
      <c r="F8" s="99">
        <f>IFERROR(1-_xlfn.NORM.DIST(_xlfn.NORM.INV(SUM(F10:F11), 0, 1) + 1, 0, 1, TRUE), "")</f>
        <v>0.47969665542373618</v>
      </c>
      <c r="G8" s="99">
        <f>IFERROR(1-_xlfn.NORM.DIST(_xlfn.NORM.INV(SUM(G10:G11), 0, 1) + 1, 0, 1, TRUE), "")</f>
        <v>0.5523557952973015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0.35407779836565922</v>
      </c>
      <c r="D9" s="99">
        <f>IFERROR(_xlfn.NORM.DIST(_xlfn.NORM.INV(SUM(D10:D11), 0, 1) + 1, 0, 1, TRUE) - SUM(D10:D11), "")</f>
        <v>0.35407779836565922</v>
      </c>
      <c r="E9" s="99">
        <f>IFERROR(_xlfn.NORM.DIST(_xlfn.NORM.INV(SUM(E10:E11), 0, 1) + 1, 0, 1, TRUE) - SUM(E10:E11), "")</f>
        <v>0.36172324247794557</v>
      </c>
      <c r="F9" s="99">
        <f>IFERROR(_xlfn.NORM.DIST(_xlfn.NORM.INV(SUM(F10:F11), 0, 1) + 1, 0, 1, TRUE) - SUM(F10:F11), "")</f>
        <v>0.34901467174162903</v>
      </c>
      <c r="G9" s="99">
        <f>IFERROR(_xlfn.NORM.DIST(_xlfn.NORM.INV(SUM(G10:G11), 0, 1) + 1, 0, 1, TRUE) - SUM(G10:G11), "")</f>
        <v>0.31874614847870975</v>
      </c>
    </row>
    <row r="10" spans="1:15" ht="15.75" customHeight="1" x14ac:dyDescent="0.25">
      <c r="B10" s="69" t="s">
        <v>109</v>
      </c>
      <c r="C10" s="39">
        <v>0.11113369464874299</v>
      </c>
      <c r="D10" s="39">
        <v>0.11113369464874299</v>
      </c>
      <c r="E10" s="39">
        <v>0.139714226126671</v>
      </c>
      <c r="F10" s="39">
        <v>0.128577470779419</v>
      </c>
      <c r="G10" s="39">
        <v>0.104468606412411</v>
      </c>
    </row>
    <row r="11" spans="1:15" ht="15.75" customHeight="1" x14ac:dyDescent="0.25">
      <c r="B11" s="69" t="s">
        <v>110</v>
      </c>
      <c r="C11" s="39">
        <v>6.9555707275867504E-2</v>
      </c>
      <c r="D11" s="39">
        <v>6.9555707275867504E-2</v>
      </c>
      <c r="E11" s="39">
        <v>5.7396784424781799E-2</v>
      </c>
      <c r="F11" s="39">
        <v>4.2711202055215801E-2</v>
      </c>
      <c r="G11" s="39">
        <v>2.44294498115778E-2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0.70639477425000008</v>
      </c>
      <c r="D14" s="40">
        <v>0.68218456074</v>
      </c>
      <c r="E14" s="40">
        <v>0.68218456074</v>
      </c>
      <c r="F14" s="40">
        <v>0.70673003779300003</v>
      </c>
      <c r="G14" s="40">
        <v>0.70673003779300003</v>
      </c>
      <c r="H14" s="41">
        <v>0.44600000000000001</v>
      </c>
      <c r="I14" s="41">
        <v>0.44600000000000001</v>
      </c>
      <c r="J14" s="41">
        <v>0.44600000000000001</v>
      </c>
      <c r="K14" s="41">
        <v>0.44600000000000001</v>
      </c>
      <c r="L14" s="41">
        <v>0.36499999999999999</v>
      </c>
      <c r="M14" s="41">
        <v>0.36499999999999999</v>
      </c>
      <c r="N14" s="41">
        <v>0.36499999999999999</v>
      </c>
      <c r="O14" s="41">
        <v>0.36499999999999999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0.32840222415405079</v>
      </c>
      <c r="D15" s="99">
        <f t="shared" si="0"/>
        <v>0.31714692010346529</v>
      </c>
      <c r="E15" s="99">
        <f t="shared" si="0"/>
        <v>0.31714692010346529</v>
      </c>
      <c r="F15" s="99">
        <f t="shared" si="0"/>
        <v>0.3285580878399279</v>
      </c>
      <c r="G15" s="99">
        <f t="shared" si="0"/>
        <v>0.3285580878399279</v>
      </c>
      <c r="H15" s="99">
        <f t="shared" si="0"/>
        <v>0.207344954</v>
      </c>
      <c r="I15" s="99">
        <f t="shared" si="0"/>
        <v>0.207344954</v>
      </c>
      <c r="J15" s="99">
        <f t="shared" si="0"/>
        <v>0.207344954</v>
      </c>
      <c r="K15" s="99">
        <f t="shared" si="0"/>
        <v>0.207344954</v>
      </c>
      <c r="L15" s="99">
        <f t="shared" si="0"/>
        <v>0.16968813499999999</v>
      </c>
      <c r="M15" s="99">
        <f t="shared" si="0"/>
        <v>0.16968813499999999</v>
      </c>
      <c r="N15" s="99">
        <f t="shared" si="0"/>
        <v>0.16968813499999999</v>
      </c>
      <c r="O15" s="99">
        <f t="shared" si="0"/>
        <v>0.16968813499999999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0.60505032539367698</v>
      </c>
      <c r="D2" s="39">
        <v>0.39387450000000002</v>
      </c>
      <c r="E2" s="39"/>
      <c r="F2" s="39"/>
      <c r="G2" s="39"/>
    </row>
    <row r="3" spans="1:7" x14ac:dyDescent="0.25">
      <c r="B3" s="78" t="s">
        <v>120</v>
      </c>
      <c r="C3" s="39">
        <v>0.175480350852013</v>
      </c>
      <c r="D3" s="39">
        <v>0.2000537</v>
      </c>
      <c r="E3" s="39"/>
      <c r="F3" s="39"/>
      <c r="G3" s="39"/>
    </row>
    <row r="4" spans="1:7" x14ac:dyDescent="0.25">
      <c r="B4" s="78" t="s">
        <v>121</v>
      </c>
      <c r="C4" s="39">
        <v>0.16912613809108701</v>
      </c>
      <c r="D4" s="39">
        <v>0.36006589999999999</v>
      </c>
      <c r="E4" s="39">
        <v>0.93118119239807096</v>
      </c>
      <c r="F4" s="39">
        <v>0.69521141052246094</v>
      </c>
      <c r="G4" s="39"/>
    </row>
    <row r="5" spans="1:7" x14ac:dyDescent="0.25">
      <c r="B5" s="78" t="s">
        <v>122</v>
      </c>
      <c r="C5" s="100">
        <v>5.0343181937933003E-2</v>
      </c>
      <c r="D5" s="100">
        <v>4.6005815267562901E-2</v>
      </c>
      <c r="E5" s="100">
        <f>1-E2-E3-E4</f>
        <v>6.8818807601929044E-2</v>
      </c>
      <c r="F5" s="100">
        <f>1-F2-F3-F4</f>
        <v>0.30478858947753906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2023-01-25T00:10:38Z</dcterms:modified>
</cp:coreProperties>
</file>