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400FDC74-0759-4F98-89D3-708BFB77B6D9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H38" i="2"/>
  <c r="G38" i="2"/>
  <c r="I38" i="2" s="1"/>
  <c r="I37" i="2"/>
  <c r="H37" i="2"/>
  <c r="G37" i="2"/>
  <c r="H36" i="2"/>
  <c r="G36" i="2"/>
  <c r="I36" i="2" s="1"/>
  <c r="I35" i="2"/>
  <c r="H35" i="2"/>
  <c r="G35" i="2"/>
  <c r="H34" i="2"/>
  <c r="G34" i="2"/>
  <c r="I34" i="2" s="1"/>
  <c r="I33" i="2"/>
  <c r="H33" i="2"/>
  <c r="G33" i="2"/>
  <c r="H32" i="2"/>
  <c r="G32" i="2"/>
  <c r="I32" i="2" s="1"/>
  <c r="I31" i="2"/>
  <c r="H31" i="2"/>
  <c r="G31" i="2"/>
  <c r="A31" i="2"/>
  <c r="H30" i="2"/>
  <c r="G30" i="2"/>
  <c r="I30" i="2" s="1"/>
  <c r="I29" i="2"/>
  <c r="H29" i="2"/>
  <c r="G29" i="2"/>
  <c r="A29" i="2"/>
  <c r="H28" i="2"/>
  <c r="G28" i="2"/>
  <c r="I28" i="2" s="1"/>
  <c r="I27" i="2"/>
  <c r="H27" i="2"/>
  <c r="G27" i="2"/>
  <c r="A27" i="2"/>
  <c r="H26" i="2"/>
  <c r="G26" i="2"/>
  <c r="I26" i="2" s="1"/>
  <c r="I25" i="2"/>
  <c r="H25" i="2"/>
  <c r="G25" i="2"/>
  <c r="A25" i="2"/>
  <c r="H24" i="2"/>
  <c r="G24" i="2"/>
  <c r="I24" i="2" s="1"/>
  <c r="I23" i="2"/>
  <c r="H23" i="2"/>
  <c r="G23" i="2"/>
  <c r="A23" i="2"/>
  <c r="H22" i="2"/>
  <c r="G22" i="2"/>
  <c r="I22" i="2" s="1"/>
  <c r="I21" i="2"/>
  <c r="H21" i="2"/>
  <c r="G21" i="2"/>
  <c r="A21" i="2"/>
  <c r="H20" i="2"/>
  <c r="G20" i="2"/>
  <c r="I20" i="2" s="1"/>
  <c r="I19" i="2"/>
  <c r="H19" i="2"/>
  <c r="G19" i="2"/>
  <c r="A19" i="2"/>
  <c r="H18" i="2"/>
  <c r="G18" i="2"/>
  <c r="I18" i="2" s="1"/>
  <c r="I17" i="2"/>
  <c r="H17" i="2"/>
  <c r="G17" i="2"/>
  <c r="A17" i="2"/>
  <c r="H16" i="2"/>
  <c r="G16" i="2"/>
  <c r="I16" i="2" s="1"/>
  <c r="I15" i="2"/>
  <c r="H15" i="2"/>
  <c r="G15" i="2"/>
  <c r="A15" i="2"/>
  <c r="H14" i="2"/>
  <c r="G14" i="2"/>
  <c r="I14" i="2" s="1"/>
  <c r="I13" i="2"/>
  <c r="H13" i="2"/>
  <c r="G13" i="2"/>
  <c r="A13" i="2"/>
  <c r="H12" i="2"/>
  <c r="G12" i="2"/>
  <c r="I12" i="2" s="1"/>
  <c r="I11" i="2"/>
  <c r="H11" i="2"/>
  <c r="G11" i="2"/>
  <c r="H10" i="2"/>
  <c r="G10" i="2"/>
  <c r="I10" i="2" s="1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I2" i="2" s="1"/>
  <c r="A2" i="2"/>
  <c r="A40" i="2" s="1"/>
  <c r="C33" i="1"/>
  <c r="C20" i="1"/>
  <c r="A33" i="2" l="1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<sst xmlns="http://schemas.openxmlformats.org/spreadsheetml/2006/main" count="2093" uniqueCount="335">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</sst>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34325288</v>
      </c>
    </row>
    <row r="8" spans="1:3" ht="15" customHeight="1" x14ac:dyDescent="0.25">
      <c r="B8" s="69" t="s">
        <v>8</v>
      </c>
      <c r="C8" s="32">
        <v>0.53500000000000003</v>
      </c>
    </row>
    <row r="9" spans="1:3" ht="15" customHeight="1" x14ac:dyDescent="0.25">
      <c r="B9" s="69" t="s">
        <v>9</v>
      </c>
      <c r="C9" s="33">
        <v>0.99</v>
      </c>
    </row>
    <row r="10" spans="1:3" ht="15" customHeight="1" x14ac:dyDescent="0.25">
      <c r="B10" s="69" t="s">
        <v>10</v>
      </c>
      <c r="C10" s="33">
        <v>0.90525772094726609</v>
      </c>
    </row>
    <row r="11" spans="1:3" ht="15" customHeight="1" x14ac:dyDescent="0.25">
      <c r="B11" s="69" t="s">
        <v>11</v>
      </c>
      <c r="C11" s="32">
        <v>0.93500000000000005</v>
      </c>
    </row>
    <row r="12" spans="1:3" ht="15" customHeight="1" x14ac:dyDescent="0.25">
      <c r="B12" s="69" t="s">
        <v>12</v>
      </c>
      <c r="C12" s="32">
        <v>0.79799999999999993</v>
      </c>
    </row>
    <row r="13" spans="1:3" ht="15" customHeight="1" x14ac:dyDescent="0.25">
      <c r="B13" s="69" t="s">
        <v>13</v>
      </c>
      <c r="C13" s="32">
        <v>0.249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4.0000000000000002E-4</v>
      </c>
    </row>
    <row r="24" spans="1:3" ht="15" customHeight="1" x14ac:dyDescent="0.25">
      <c r="B24" s="7" t="s">
        <v>22</v>
      </c>
      <c r="C24" s="33">
        <v>0.62990000000000002</v>
      </c>
    </row>
    <row r="25" spans="1:3" ht="15" customHeight="1" x14ac:dyDescent="0.25">
      <c r="B25" s="7" t="s">
        <v>23</v>
      </c>
      <c r="C25" s="33">
        <v>0.36969999999999997</v>
      </c>
    </row>
    <row r="26" spans="1:3" ht="15" customHeight="1" x14ac:dyDescent="0.25">
      <c r="B26" s="7" t="s">
        <v>24</v>
      </c>
      <c r="C26" s="33">
        <v>0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0.19748062010197501</v>
      </c>
    </row>
    <row r="30" spans="1:3" ht="14.25" customHeight="1" x14ac:dyDescent="0.25">
      <c r="B30" s="15" t="s">
        <v>27</v>
      </c>
      <c r="C30" s="42">
        <v>5.5679474090556798E-2</v>
      </c>
    </row>
    <row r="31" spans="1:3" ht="14.25" customHeight="1" x14ac:dyDescent="0.25">
      <c r="B31" s="15" t="s">
        <v>28</v>
      </c>
      <c r="C31" s="42">
        <v>0.13078694450130801</v>
      </c>
    </row>
    <row r="32" spans="1:3" ht="14.25" customHeight="1" x14ac:dyDescent="0.25">
      <c r="B32" s="15" t="s">
        <v>29</v>
      </c>
      <c r="C32" s="42">
        <v>0.61605296130616094</v>
      </c>
    </row>
    <row r="33" spans="1:5" ht="13.2" customHeight="1" x14ac:dyDescent="0.25">
      <c r="B33" s="16" t="s">
        <v>30</v>
      </c>
      <c r="C33" s="98">
        <f>SUM(C29:C32)</f>
        <v>1.0000000000000009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35.850665255437903</v>
      </c>
    </row>
    <row r="38" spans="1:5" ht="15" customHeight="1" x14ac:dyDescent="0.25">
      <c r="B38" s="65" t="s">
        <v>34</v>
      </c>
      <c r="C38" s="94">
        <v>74.160316590376794</v>
      </c>
      <c r="D38" s="5"/>
      <c r="E38" s="6"/>
    </row>
    <row r="39" spans="1:5" ht="15" customHeight="1" x14ac:dyDescent="0.25">
      <c r="B39" s="65" t="s">
        <v>35</v>
      </c>
      <c r="C39" s="94">
        <v>117.20207806947199</v>
      </c>
      <c r="D39" s="5"/>
      <c r="E39" s="5"/>
    </row>
    <row r="40" spans="1:5" ht="15" customHeight="1" x14ac:dyDescent="0.25">
      <c r="B40" s="65" t="s">
        <v>36</v>
      </c>
      <c r="C40" s="94">
        <v>9.17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22.246120860000001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1.9617599999999999E-2</v>
      </c>
      <c r="D45" s="5"/>
    </row>
    <row r="46" spans="1:5" ht="15.75" customHeight="1" x14ac:dyDescent="0.25">
      <c r="B46" s="65" t="s">
        <v>41</v>
      </c>
      <c r="C46" s="33">
        <v>0.10255010000000001</v>
      </c>
      <c r="D46" s="5"/>
    </row>
    <row r="47" spans="1:5" ht="15.75" customHeight="1" x14ac:dyDescent="0.25">
      <c r="B47" s="65" t="s">
        <v>42</v>
      </c>
      <c r="C47" s="33">
        <v>0.2178553</v>
      </c>
      <c r="D47" s="5"/>
      <c r="E47" s="6"/>
    </row>
    <row r="48" spans="1:5" ht="15" customHeight="1" x14ac:dyDescent="0.25">
      <c r="B48" s="65" t="s">
        <v>43</v>
      </c>
      <c r="C48" s="97">
        <v>0.65997699999999992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0.419354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352009.74440000003</v>
      </c>
      <c r="C2" s="37">
        <v>906000</v>
      </c>
      <c r="D2" s="37">
        <v>1918000</v>
      </c>
      <c r="E2" s="37">
        <v>1823000</v>
      </c>
      <c r="F2" s="37">
        <v>1784000</v>
      </c>
      <c r="G2" s="9">
        <f t="shared" ref="G2:G40" si="0">C2+D2+E2+F2</f>
        <v>6431000</v>
      </c>
      <c r="H2" s="9">
        <f t="shared" ref="H2:H40" si="1">(B2 + stillbirth*B2/(1000-stillbirth))/(1-abortion)</f>
        <v>409112.23337068706</v>
      </c>
      <c r="I2" s="9">
        <f t="shared" ref="I2:I40" si="2">G2-H2</f>
        <v>6021887.7666293131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350982.57860000001</v>
      </c>
      <c r="C3" s="37">
        <v>889000</v>
      </c>
      <c r="D3" s="37">
        <v>1907000</v>
      </c>
      <c r="E3" s="37">
        <v>1841000</v>
      </c>
      <c r="F3" s="37">
        <v>1728000</v>
      </c>
      <c r="G3" s="9">
        <f t="shared" si="0"/>
        <v>6365000</v>
      </c>
      <c r="H3" s="9">
        <f t="shared" si="1"/>
        <v>407918.44228630594</v>
      </c>
      <c r="I3" s="9">
        <f t="shared" si="2"/>
        <v>5957081.5577136939</v>
      </c>
    </row>
    <row r="4" spans="1:9" ht="15.75" customHeight="1" x14ac:dyDescent="0.25">
      <c r="A4" s="69">
        <f t="shared" si="3"/>
        <v>2023</v>
      </c>
      <c r="B4" s="36">
        <v>349881.85680000001</v>
      </c>
      <c r="C4" s="37">
        <v>871000</v>
      </c>
      <c r="D4" s="37">
        <v>1894000</v>
      </c>
      <c r="E4" s="37">
        <v>1854000</v>
      </c>
      <c r="F4" s="37">
        <v>1684000</v>
      </c>
      <c r="G4" s="9">
        <f t="shared" si="0"/>
        <v>6303000</v>
      </c>
      <c r="H4" s="9">
        <f t="shared" si="1"/>
        <v>406639.16305872268</v>
      </c>
      <c r="I4" s="9">
        <f t="shared" si="2"/>
        <v>5896360.8369412776</v>
      </c>
    </row>
    <row r="5" spans="1:9" ht="15.75" customHeight="1" x14ac:dyDescent="0.25">
      <c r="A5" s="69">
        <f t="shared" si="3"/>
        <v>2024</v>
      </c>
      <c r="B5" s="36">
        <v>348708.71419999999</v>
      </c>
      <c r="C5" s="37">
        <v>855000</v>
      </c>
      <c r="D5" s="37">
        <v>1877000</v>
      </c>
      <c r="E5" s="37">
        <v>1864000</v>
      </c>
      <c r="F5" s="37">
        <v>1656000</v>
      </c>
      <c r="G5" s="9">
        <f t="shared" si="0"/>
        <v>6252000</v>
      </c>
      <c r="H5" s="9">
        <f t="shared" si="1"/>
        <v>405275.71503836644</v>
      </c>
      <c r="I5" s="9">
        <f t="shared" si="2"/>
        <v>5846724.2849616334</v>
      </c>
    </row>
    <row r="6" spans="1:9" ht="15.75" customHeight="1" x14ac:dyDescent="0.25">
      <c r="A6" s="69">
        <f t="shared" si="3"/>
        <v>2025</v>
      </c>
      <c r="B6" s="36">
        <v>347464.28600000002</v>
      </c>
      <c r="C6" s="37">
        <v>842000</v>
      </c>
      <c r="D6" s="37">
        <v>1858000</v>
      </c>
      <c r="E6" s="37">
        <v>1876000</v>
      </c>
      <c r="F6" s="37">
        <v>1642000</v>
      </c>
      <c r="G6" s="9">
        <f t="shared" si="0"/>
        <v>6218000</v>
      </c>
      <c r="H6" s="9">
        <f t="shared" si="1"/>
        <v>403829.41757566627</v>
      </c>
      <c r="I6" s="9">
        <f t="shared" si="2"/>
        <v>5814170.5824243333</v>
      </c>
    </row>
    <row r="7" spans="1:9" ht="15.75" customHeight="1" x14ac:dyDescent="0.25">
      <c r="A7" s="69">
        <f t="shared" si="3"/>
        <v>2026</v>
      </c>
      <c r="B7" s="36">
        <v>344560.79200000002</v>
      </c>
      <c r="C7" s="37">
        <v>834000</v>
      </c>
      <c r="D7" s="37">
        <v>1838000</v>
      </c>
      <c r="E7" s="37">
        <v>1885000</v>
      </c>
      <c r="F7" s="37">
        <v>1647000</v>
      </c>
      <c r="G7" s="9">
        <f t="shared" si="0"/>
        <v>6204000</v>
      </c>
      <c r="H7" s="9">
        <f t="shared" si="1"/>
        <v>400454.92316516896</v>
      </c>
      <c r="I7" s="9">
        <f t="shared" si="2"/>
        <v>5803545.0768348314</v>
      </c>
    </row>
    <row r="8" spans="1:9" ht="15.75" customHeight="1" x14ac:dyDescent="0.25">
      <c r="A8" s="69">
        <f t="shared" si="3"/>
        <v>2027</v>
      </c>
      <c r="B8" s="36">
        <v>341578.34</v>
      </c>
      <c r="C8" s="37">
        <v>829000</v>
      </c>
      <c r="D8" s="37">
        <v>1816000</v>
      </c>
      <c r="E8" s="37">
        <v>1893000</v>
      </c>
      <c r="F8" s="37">
        <v>1670000</v>
      </c>
      <c r="G8" s="9">
        <f t="shared" si="0"/>
        <v>6208000</v>
      </c>
      <c r="H8" s="9">
        <f t="shared" si="1"/>
        <v>396988.66230719007</v>
      </c>
      <c r="I8" s="9">
        <f t="shared" si="2"/>
        <v>5811011.3376928102</v>
      </c>
    </row>
    <row r="9" spans="1:9" ht="15.75" customHeight="1" x14ac:dyDescent="0.25">
      <c r="A9" s="69">
        <f t="shared" si="3"/>
        <v>2028</v>
      </c>
      <c r="B9" s="36">
        <v>338493.33360000001</v>
      </c>
      <c r="C9" s="37">
        <v>827000</v>
      </c>
      <c r="D9" s="37">
        <v>1794000</v>
      </c>
      <c r="E9" s="37">
        <v>1899000</v>
      </c>
      <c r="F9" s="37">
        <v>1704000</v>
      </c>
      <c r="G9" s="9">
        <f t="shared" si="0"/>
        <v>6224000</v>
      </c>
      <c r="H9" s="9">
        <f t="shared" si="1"/>
        <v>393403.21082936763</v>
      </c>
      <c r="I9" s="9">
        <f t="shared" si="2"/>
        <v>5830596.7891706321</v>
      </c>
    </row>
    <row r="10" spans="1:9" ht="15.75" customHeight="1" x14ac:dyDescent="0.25">
      <c r="A10" s="69">
        <f t="shared" si="3"/>
        <v>2029</v>
      </c>
      <c r="B10" s="36">
        <v>335308.54840000003</v>
      </c>
      <c r="C10" s="37">
        <v>826000</v>
      </c>
      <c r="D10" s="37">
        <v>1771000</v>
      </c>
      <c r="E10" s="37">
        <v>1901000</v>
      </c>
      <c r="F10" s="37">
        <v>1740000</v>
      </c>
      <c r="G10" s="9">
        <f t="shared" si="0"/>
        <v>6238000</v>
      </c>
      <c r="H10" s="9">
        <f t="shared" si="1"/>
        <v>389701.79458534077</v>
      </c>
      <c r="I10" s="9">
        <f t="shared" si="2"/>
        <v>5848298.2054146593</v>
      </c>
    </row>
    <row r="11" spans="1:9" ht="15.75" customHeight="1" x14ac:dyDescent="0.25">
      <c r="A11" s="69">
        <f t="shared" si="3"/>
        <v>2030</v>
      </c>
      <c r="B11" s="36">
        <v>332026.76</v>
      </c>
      <c r="C11" s="37">
        <v>827000</v>
      </c>
      <c r="D11" s="37">
        <v>1749000</v>
      </c>
      <c r="E11" s="37">
        <v>1898000</v>
      </c>
      <c r="F11" s="37">
        <v>1770000</v>
      </c>
      <c r="G11" s="9">
        <f t="shared" si="0"/>
        <v>6244000</v>
      </c>
      <c r="H11" s="9">
        <f t="shared" si="1"/>
        <v>385887.6394287484</v>
      </c>
      <c r="I11" s="9">
        <f t="shared" si="2"/>
        <v>5858112.3605712513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2998523.702505698</v>
      </c>
      <c r="I12" s="9">
        <f t="shared" si="2"/>
        <v>15585145.297494302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3056634.626972863</v>
      </c>
      <c r="I13" s="9">
        <f t="shared" si="2"/>
        <v>16117945.373027137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3126367.7363334605</v>
      </c>
      <c r="I14" s="9">
        <f t="shared" si="2"/>
        <v>16649888.26366654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3184478.6608006256</v>
      </c>
      <c r="I15" s="9">
        <f t="shared" si="2"/>
        <v>17202249.339199375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8.1432633319155259E-3</v>
      </c>
    </row>
    <row r="4" spans="1:8" ht="15.75" customHeight="1" x14ac:dyDescent="0.25">
      <c r="B4" s="11" t="s">
        <v>69</v>
      </c>
      <c r="C4" s="38">
        <v>0.12976204685914461</v>
      </c>
    </row>
    <row r="5" spans="1:8" ht="15.75" customHeight="1" x14ac:dyDescent="0.25">
      <c r="B5" s="11" t="s">
        <v>70</v>
      </c>
      <c r="C5" s="38">
        <v>7.7865012384755711E-2</v>
      </c>
    </row>
    <row r="6" spans="1:8" ht="15.75" customHeight="1" x14ac:dyDescent="0.25">
      <c r="B6" s="11" t="s">
        <v>71</v>
      </c>
      <c r="C6" s="38">
        <v>0.31596497329182399</v>
      </c>
    </row>
    <row r="7" spans="1:8" ht="15.75" customHeight="1" x14ac:dyDescent="0.25">
      <c r="B7" s="11" t="s">
        <v>72</v>
      </c>
      <c r="C7" s="38">
        <v>0.30968754452631331</v>
      </c>
    </row>
    <row r="8" spans="1:8" ht="15.75" customHeight="1" x14ac:dyDescent="0.25">
      <c r="B8" s="11" t="s">
        <v>73</v>
      </c>
      <c r="C8" s="38">
        <v>2.6987395994716251E-2</v>
      </c>
    </row>
    <row r="9" spans="1:8" ht="15.75" customHeight="1" x14ac:dyDescent="0.25">
      <c r="B9" s="11" t="s">
        <v>74</v>
      </c>
      <c r="C9" s="38">
        <v>6.4952087484845364E-2</v>
      </c>
    </row>
    <row r="10" spans="1:8" ht="15.75" customHeight="1" x14ac:dyDescent="0.25">
      <c r="B10" s="11" t="s">
        <v>75</v>
      </c>
      <c r="C10" s="38">
        <v>6.6637676126485385E-2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0.15642588174573971</v>
      </c>
      <c r="D14" s="38">
        <v>0.15642588174573971</v>
      </c>
      <c r="E14" s="38">
        <v>0.15642588174573971</v>
      </c>
      <c r="F14" s="38">
        <v>0.15642588174573971</v>
      </c>
    </row>
    <row r="15" spans="1:8" ht="15.75" customHeight="1" x14ac:dyDescent="0.25">
      <c r="B15" s="11" t="s">
        <v>82</v>
      </c>
      <c r="C15" s="38">
        <v>0.2459120724979271</v>
      </c>
      <c r="D15" s="38">
        <v>0.2459120724979271</v>
      </c>
      <c r="E15" s="38">
        <v>0.2459120724979271</v>
      </c>
      <c r="F15" s="38">
        <v>0.2459120724979271</v>
      </c>
    </row>
    <row r="16" spans="1:8" ht="15.75" customHeight="1" x14ac:dyDescent="0.25">
      <c r="B16" s="11" t="s">
        <v>83</v>
      </c>
      <c r="C16" s="38">
        <v>4.737862187723605E-2</v>
      </c>
      <c r="D16" s="38">
        <v>4.737862187723605E-2</v>
      </c>
      <c r="E16" s="38">
        <v>4.737862187723605E-2</v>
      </c>
      <c r="F16" s="38">
        <v>4.737862187723605E-2</v>
      </c>
    </row>
    <row r="17" spans="1:8" ht="15.75" customHeight="1" x14ac:dyDescent="0.25">
      <c r="B17" s="11" t="s">
        <v>84</v>
      </c>
      <c r="C17" s="38">
        <v>2.4295120443248691E-2</v>
      </c>
      <c r="D17" s="38">
        <v>2.4295120443248691E-2</v>
      </c>
      <c r="E17" s="38">
        <v>2.4295120443248691E-2</v>
      </c>
      <c r="F17" s="38">
        <v>2.4295120443248691E-2</v>
      </c>
    </row>
    <row r="18" spans="1:8" ht="15.75" customHeight="1" x14ac:dyDescent="0.25">
      <c r="B18" s="11" t="s">
        <v>85</v>
      </c>
      <c r="C18" s="38">
        <v>0.15007652965783441</v>
      </c>
      <c r="D18" s="38">
        <v>0.15007652965783441</v>
      </c>
      <c r="E18" s="38">
        <v>0.15007652965783441</v>
      </c>
      <c r="F18" s="38">
        <v>0.15007652965783441</v>
      </c>
    </row>
    <row r="19" spans="1:8" ht="15.75" customHeight="1" x14ac:dyDescent="0.25">
      <c r="B19" s="11" t="s">
        <v>86</v>
      </c>
      <c r="C19" s="38">
        <v>1.7901193465893431E-2</v>
      </c>
      <c r="D19" s="38">
        <v>1.7901193465893431E-2</v>
      </c>
      <c r="E19" s="38">
        <v>1.7901193465893431E-2</v>
      </c>
      <c r="F19" s="38">
        <v>1.7901193465893431E-2</v>
      </c>
    </row>
    <row r="20" spans="1:8" ht="15.75" customHeight="1" x14ac:dyDescent="0.25">
      <c r="B20" s="11" t="s">
        <v>87</v>
      </c>
      <c r="C20" s="38">
        <v>1.9844259377181251E-2</v>
      </c>
      <c r="D20" s="38">
        <v>1.9844259377181251E-2</v>
      </c>
      <c r="E20" s="38">
        <v>1.9844259377181251E-2</v>
      </c>
      <c r="F20" s="38">
        <v>1.9844259377181251E-2</v>
      </c>
    </row>
    <row r="21" spans="1:8" ht="15.75" customHeight="1" x14ac:dyDescent="0.25">
      <c r="B21" s="11" t="s">
        <v>88</v>
      </c>
      <c r="C21" s="38">
        <v>7.9351354373928026E-2</v>
      </c>
      <c r="D21" s="38">
        <v>7.9351354373928026E-2</v>
      </c>
      <c r="E21" s="38">
        <v>7.9351354373928026E-2</v>
      </c>
      <c r="F21" s="38">
        <v>7.9351354373928026E-2</v>
      </c>
    </row>
    <row r="22" spans="1:8" ht="15.75" customHeight="1" x14ac:dyDescent="0.25">
      <c r="B22" s="11" t="s">
        <v>89</v>
      </c>
      <c r="C22" s="38">
        <v>0.25881496656101122</v>
      </c>
      <c r="D22" s="38">
        <v>0.25881496656101122</v>
      </c>
      <c r="E22" s="38">
        <v>0.25881496656101122</v>
      </c>
      <c r="F22" s="38">
        <v>0.25881496656101122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8.6847340999999995E-2</v>
      </c>
    </row>
    <row r="27" spans="1:8" ht="15.75" customHeight="1" x14ac:dyDescent="0.25">
      <c r="B27" s="11" t="s">
        <v>92</v>
      </c>
      <c r="C27" s="38">
        <v>8.4805239999999997E-3</v>
      </c>
    </row>
    <row r="28" spans="1:8" ht="15.75" customHeight="1" x14ac:dyDescent="0.25">
      <c r="B28" s="11" t="s">
        <v>93</v>
      </c>
      <c r="C28" s="38">
        <v>0.15529126400000001</v>
      </c>
    </row>
    <row r="29" spans="1:8" ht="15.75" customHeight="1" x14ac:dyDescent="0.25">
      <c r="B29" s="11" t="s">
        <v>94</v>
      </c>
      <c r="C29" s="38">
        <v>0.168382743</v>
      </c>
    </row>
    <row r="30" spans="1:8" ht="15.75" customHeight="1" x14ac:dyDescent="0.25">
      <c r="B30" s="11" t="s">
        <v>95</v>
      </c>
      <c r="C30" s="38">
        <v>0.105182391</v>
      </c>
    </row>
    <row r="31" spans="1:8" ht="15.75" customHeight="1" x14ac:dyDescent="0.25">
      <c r="B31" s="11" t="s">
        <v>96</v>
      </c>
      <c r="C31" s="38">
        <v>0.10869061100000001</v>
      </c>
    </row>
    <row r="32" spans="1:8" ht="15.75" customHeight="1" x14ac:dyDescent="0.25">
      <c r="B32" s="11" t="s">
        <v>97</v>
      </c>
      <c r="C32" s="38">
        <v>1.8206013E-2</v>
      </c>
    </row>
    <row r="33" spans="2:3" ht="15.75" customHeight="1" x14ac:dyDescent="0.25">
      <c r="B33" s="11" t="s">
        <v>98</v>
      </c>
      <c r="C33" s="38">
        <v>8.4055170999999984E-2</v>
      </c>
    </row>
    <row r="34" spans="2:3" ht="15.75" customHeight="1" x14ac:dyDescent="0.25">
      <c r="B34" s="11" t="s">
        <v>99</v>
      </c>
      <c r="C34" s="38">
        <v>0.26486394200000002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0.45762340295951376</v>
      </c>
      <c r="D2" s="99">
        <f>IFERROR(1-_xlfn.NORM.DIST(_xlfn.NORM.INV(SUM(D4:D5), 0, 1) + 1, 0, 1, TRUE), "")</f>
        <v>0.45762340295951376</v>
      </c>
      <c r="E2" s="99">
        <f>IFERROR(1-_xlfn.NORM.DIST(_xlfn.NORM.INV(SUM(E4:E5), 0, 1) + 1, 0, 1, TRUE), "")</f>
        <v>0.39273773179801696</v>
      </c>
      <c r="F2" s="99">
        <f>IFERROR(1-_xlfn.NORM.DIST(_xlfn.NORM.INV(SUM(F4:F5), 0, 1) + 1, 0, 1, TRUE), "")</f>
        <v>0.238653245936984</v>
      </c>
      <c r="G2" s="99">
        <f>IFERROR(1-_xlfn.NORM.DIST(_xlfn.NORM.INV(SUM(G4:G5), 0, 1) + 1, 0, 1, TRUE), "")</f>
        <v>0.21596854306104141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0.35660248904048625</v>
      </c>
      <c r="D3" s="99">
        <f>IFERROR(_xlfn.NORM.DIST(_xlfn.NORM.INV(SUM(D4:D5), 0, 1) + 1, 0, 1, TRUE) - SUM(D4:D5), "")</f>
        <v>0.35660248904048625</v>
      </c>
      <c r="E3" s="99">
        <f>IFERROR(_xlfn.NORM.DIST(_xlfn.NORM.INV(SUM(E4:E5), 0, 1) + 1, 0, 1, TRUE) - SUM(E4:E5), "")</f>
        <v>0.37389713120198304</v>
      </c>
      <c r="F3" s="99">
        <f>IFERROR(_xlfn.NORM.DIST(_xlfn.NORM.INV(SUM(F4:F5), 0, 1) + 1, 0, 1, TRUE) - SUM(F4:F5), "")</f>
        <v>0.375193274063016</v>
      </c>
      <c r="G3" s="99">
        <f>IFERROR(_xlfn.NORM.DIST(_xlfn.NORM.INV(SUM(G4:G5), 0, 1) + 1, 0, 1, TRUE) - SUM(G4:G5), "")</f>
        <v>0.36880424693895864</v>
      </c>
    </row>
    <row r="4" spans="1:15" ht="15.75" customHeight="1" x14ac:dyDescent="0.25">
      <c r="B4" s="69" t="s">
        <v>104</v>
      </c>
      <c r="C4" s="39">
        <v>0.12186411</v>
      </c>
      <c r="D4" s="39">
        <v>0.12186411</v>
      </c>
      <c r="E4" s="39">
        <v>0.15877978000000001</v>
      </c>
      <c r="F4" s="39">
        <v>0.22776905</v>
      </c>
      <c r="G4" s="39">
        <v>0.20568164999999999</v>
      </c>
    </row>
    <row r="5" spans="1:15" ht="15.75" customHeight="1" x14ac:dyDescent="0.25">
      <c r="B5" s="69" t="s">
        <v>105</v>
      </c>
      <c r="C5" s="39">
        <v>6.390999800000001E-2</v>
      </c>
      <c r="D5" s="39">
        <v>6.390999800000001E-2</v>
      </c>
      <c r="E5" s="39">
        <v>7.4585356999999991E-2</v>
      </c>
      <c r="F5" s="39">
        <v>0.15838442999999999</v>
      </c>
      <c r="G5" s="39">
        <v>0.20954555999999999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0.68185468461854504</v>
      </c>
      <c r="D8" s="99">
        <f>IFERROR(1-_xlfn.NORM.DIST(_xlfn.NORM.INV(SUM(D10:D11), 0, 1) + 1, 0, 1, TRUE), "")</f>
        <v>0.68185468461854504</v>
      </c>
      <c r="E8" s="99">
        <f>IFERROR(1-_xlfn.NORM.DIST(_xlfn.NORM.INV(SUM(E10:E11), 0, 1) + 1, 0, 1, TRUE), "")</f>
        <v>0.53847791681949908</v>
      </c>
      <c r="F8" s="99">
        <f>IFERROR(1-_xlfn.NORM.DIST(_xlfn.NORM.INV(SUM(F10:F11), 0, 1) + 1, 0, 1, TRUE), "")</f>
        <v>0.58750905329585978</v>
      </c>
      <c r="G8" s="99">
        <f>IFERROR(1-_xlfn.NORM.DIST(_xlfn.NORM.INV(SUM(G10:G11), 0, 1) + 1, 0, 1, TRUE), "")</f>
        <v>0.77189097933177753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0.24775516038145495</v>
      </c>
      <c r="D9" s="99">
        <f>IFERROR(_xlfn.NORM.DIST(_xlfn.NORM.INV(SUM(D10:D11), 0, 1) + 1, 0, 1, TRUE) - SUM(D10:D11), "")</f>
        <v>0.24775516038145495</v>
      </c>
      <c r="E9" s="99">
        <f>IFERROR(_xlfn.NORM.DIST(_xlfn.NORM.INV(SUM(E10:E11), 0, 1) + 1, 0, 1, TRUE) - SUM(E10:E11), "")</f>
        <v>0.32511390918050093</v>
      </c>
      <c r="F9" s="99">
        <f>IFERROR(_xlfn.NORM.DIST(_xlfn.NORM.INV(SUM(F10:F11), 0, 1) + 1, 0, 1, TRUE) - SUM(F10:F11), "")</f>
        <v>0.30147481070414017</v>
      </c>
      <c r="G9" s="99">
        <f>IFERROR(_xlfn.NORM.DIST(_xlfn.NORM.INV(SUM(G10:G11), 0, 1) + 1, 0, 1, TRUE) - SUM(G10:G11), "")</f>
        <v>0.18762431396822243</v>
      </c>
    </row>
    <row r="10" spans="1:15" ht="15.75" customHeight="1" x14ac:dyDescent="0.25">
      <c r="B10" s="69" t="s">
        <v>109</v>
      </c>
      <c r="C10" s="39">
        <v>4.6751927999999998E-2</v>
      </c>
      <c r="D10" s="39">
        <v>4.6751927999999998E-2</v>
      </c>
      <c r="E10" s="39">
        <v>0.10321615000000001</v>
      </c>
      <c r="F10" s="39">
        <v>7.7771478000000005E-2</v>
      </c>
      <c r="G10" s="39">
        <v>3.1628560999999999E-2</v>
      </c>
    </row>
    <row r="11" spans="1:15" ht="15.75" customHeight="1" x14ac:dyDescent="0.25">
      <c r="B11" s="69" t="s">
        <v>110</v>
      </c>
      <c r="C11" s="39">
        <v>2.3638227000000001E-2</v>
      </c>
      <c r="D11" s="39">
        <v>2.3638227000000001E-2</v>
      </c>
      <c r="E11" s="39">
        <v>3.3192024000000001E-2</v>
      </c>
      <c r="F11" s="39">
        <v>3.3244658000000003E-2</v>
      </c>
      <c r="G11" s="39">
        <v>8.8561457E-3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0.55798007500000002</v>
      </c>
      <c r="D14" s="40">
        <v>0.52895796887199997</v>
      </c>
      <c r="E14" s="40">
        <v>0.52895796887199997</v>
      </c>
      <c r="F14" s="40">
        <v>0.31842903291500002</v>
      </c>
      <c r="G14" s="40">
        <v>0.31842903291500002</v>
      </c>
      <c r="H14" s="41">
        <v>0.57799999999999996</v>
      </c>
      <c r="I14" s="41">
        <v>0.57799999999999996</v>
      </c>
      <c r="J14" s="41">
        <v>0.57799999999999996</v>
      </c>
      <c r="K14" s="41">
        <v>0.57799999999999996</v>
      </c>
      <c r="L14" s="41">
        <v>0.48799999999999999</v>
      </c>
      <c r="M14" s="41">
        <v>0.48799999999999999</v>
      </c>
      <c r="N14" s="41">
        <v>0.48799999999999999</v>
      </c>
      <c r="O14" s="41">
        <v>0.48799999999999999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0.23399117637155001</v>
      </c>
      <c r="D15" s="99">
        <f t="shared" si="0"/>
        <v>0.22182064007834867</v>
      </c>
      <c r="E15" s="99">
        <f t="shared" si="0"/>
        <v>0.22182064007834867</v>
      </c>
      <c r="F15" s="99">
        <f t="shared" si="0"/>
        <v>0.13353448866903692</v>
      </c>
      <c r="G15" s="99">
        <f t="shared" si="0"/>
        <v>0.13353448866903692</v>
      </c>
      <c r="H15" s="99">
        <f t="shared" si="0"/>
        <v>0.24238661199999997</v>
      </c>
      <c r="I15" s="99">
        <f t="shared" si="0"/>
        <v>0.24238661199999997</v>
      </c>
      <c r="J15" s="99">
        <f t="shared" si="0"/>
        <v>0.24238661199999997</v>
      </c>
      <c r="K15" s="99">
        <f t="shared" si="0"/>
        <v>0.24238661199999997</v>
      </c>
      <c r="L15" s="99">
        <f t="shared" si="0"/>
        <v>0.20464475199999999</v>
      </c>
      <c r="M15" s="99">
        <f t="shared" si="0"/>
        <v>0.20464475199999999</v>
      </c>
      <c r="N15" s="99">
        <f t="shared" si="0"/>
        <v>0.20464475199999999</v>
      </c>
      <c r="O15" s="99">
        <f t="shared" si="0"/>
        <v>0.20464475199999999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0.38865440000000001</v>
      </c>
      <c r="D2" s="39">
        <v>0.26556879999999999</v>
      </c>
      <c r="E2" s="39"/>
      <c r="F2" s="39"/>
      <c r="G2" s="39"/>
    </row>
    <row r="3" spans="1:7" x14ac:dyDescent="0.25">
      <c r="B3" s="78" t="s">
        <v>120</v>
      </c>
      <c r="C3" s="39">
        <v>0.47791139999999999</v>
      </c>
      <c r="D3" s="39">
        <v>0.42204710000000001</v>
      </c>
      <c r="E3" s="39"/>
      <c r="F3" s="39"/>
      <c r="G3" s="39"/>
    </row>
    <row r="4" spans="1:7" x14ac:dyDescent="0.25">
      <c r="B4" s="78" t="s">
        <v>121</v>
      </c>
      <c r="C4" s="39">
        <v>0.1189286</v>
      </c>
      <c r="D4" s="39">
        <v>0.29107519999999998</v>
      </c>
      <c r="E4" s="39">
        <v>0.96553879976272594</v>
      </c>
      <c r="F4" s="39">
        <v>0.662742018699646</v>
      </c>
      <c r="G4" s="39"/>
    </row>
    <row r="5" spans="1:7" x14ac:dyDescent="0.25">
      <c r="B5" s="78" t="s">
        <v>122</v>
      </c>
      <c r="C5" s="100">
        <v>1.450566E-2</v>
      </c>
      <c r="D5" s="100">
        <v>2.1308899999999999E-2</v>
      </c>
      <c r="E5" s="100">
        <f>1-E2-E3-E4</f>
        <v>3.4461200237274059E-2</v>
      </c>
      <c r="F5" s="100">
        <f>1-F2-F3-F4</f>
        <v>0.337257981300354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0.43232360825708399</v>
      </c>
      <c r="C2" s="43">
        <v>0.95</v>
      </c>
      <c r="D2" s="86">
        <v>39.888859002919943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54.752071881275683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130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3.5873272177965978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0.133967136171905</v>
      </c>
      <c r="C10" s="43">
        <v>0.95</v>
      </c>
      <c r="D10" s="86">
        <v>17.43582110877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0.133967136171905</v>
      </c>
      <c r="C11" s="43">
        <v>0.95</v>
      </c>
      <c r="D11" s="86">
        <v>17.43582110877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0.133967136171905</v>
      </c>
      <c r="C12" s="43">
        <v>0.95</v>
      </c>
      <c r="D12" s="86">
        <v>17.43582110877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0.133967136171905</v>
      </c>
      <c r="C13" s="43">
        <v>0.95</v>
      </c>
      <c r="D13" s="86">
        <v>17.43582110877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0.133967136171905</v>
      </c>
      <c r="C14" s="43">
        <v>0.95</v>
      </c>
      <c r="D14" s="86">
        <v>17.43582110877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0.133967136171905</v>
      </c>
      <c r="C15" s="43">
        <v>0.95</v>
      </c>
      <c r="D15" s="86">
        <v>17.43582110877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0.36188471973576708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0.58036540000000003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0.8</v>
      </c>
      <c r="C18" s="43">
        <v>0.95</v>
      </c>
      <c r="D18" s="86">
        <v>3.082565241453175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3.082565241453175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0.39371840000000002</v>
      </c>
      <c r="C21" s="43">
        <v>0.95</v>
      </c>
      <c r="D21" s="86">
        <v>33.744034081912098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29.75485142592801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5.7056441979252872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9.9523743433600001E-2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0.10448599824568899</v>
      </c>
      <c r="C27" s="43">
        <v>0.95</v>
      </c>
      <c r="D27" s="86">
        <v>25.164486250613059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0.39171754097459299</v>
      </c>
      <c r="C29" s="43">
        <v>0.95</v>
      </c>
      <c r="D29" s="86">
        <v>72.244943512455777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0.35349840139862337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8.0000000000000002E-3</v>
      </c>
      <c r="C32" s="43">
        <v>0.95</v>
      </c>
      <c r="D32" s="86">
        <v>0.71154246388970954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0.5492108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0.60635890000000003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0.1534655</v>
      </c>
      <c r="C38" s="43">
        <v>0.95</v>
      </c>
      <c r="D38" s="86">
        <v>8.1649856306609028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0.111743663188286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0.1215550128</v>
      </c>
      <c r="C3" s="13">
        <f>frac_mam_1_5months * 2.6</f>
        <v>0.1215550128</v>
      </c>
      <c r="D3" s="13">
        <f>frac_mam_6_11months * 2.6</f>
        <v>0.26836199000000005</v>
      </c>
      <c r="E3" s="13">
        <f>frac_mam_12_23months * 2.6</f>
        <v>0.20220584280000001</v>
      </c>
      <c r="F3" s="13">
        <f>frac_mam_24_59months * 2.6</f>
        <v>8.2234258599999999E-2</v>
      </c>
    </row>
    <row r="4" spans="1:6" ht="15.75" customHeight="1" x14ac:dyDescent="0.25">
      <c r="A4" s="78" t="s">
        <v>204</v>
      </c>
      <c r="B4" s="13">
        <f>frac_sam_1month * 2.6</f>
        <v>6.1459390200000005E-2</v>
      </c>
      <c r="C4" s="13">
        <f>frac_sam_1_5months * 2.6</f>
        <v>6.1459390200000005E-2</v>
      </c>
      <c r="D4" s="13">
        <f>frac_sam_6_11months * 2.6</f>
        <v>8.6299262400000007E-2</v>
      </c>
      <c r="E4" s="13">
        <f>frac_sam_12_23months * 2.6</f>
        <v>8.6436110800000007E-2</v>
      </c>
      <c r="F4" s="13">
        <f>frac_sam_24_59months * 2.6</f>
        <v>2.3025978820000001E-2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0.53500000000000003</v>
      </c>
      <c r="E2" s="47">
        <f>food_insecure</f>
        <v>0.53500000000000003</v>
      </c>
      <c r="F2" s="47">
        <f>food_insecure</f>
        <v>0.53500000000000003</v>
      </c>
      <c r="G2" s="47">
        <f>food_insecure</f>
        <v>0.53500000000000003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0.53500000000000003</v>
      </c>
      <c r="F5" s="47">
        <f>food_insecure</f>
        <v>0.53500000000000003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0.53500000000000003</v>
      </c>
      <c r="F8" s="47">
        <f>food_insecure</f>
        <v>0.53500000000000003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0.53500000000000003</v>
      </c>
      <c r="F9" s="47">
        <f>food_insecure</f>
        <v>0.53500000000000003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0.79799999999999993</v>
      </c>
      <c r="E10" s="47">
        <f>IF(ISBLANK(comm_deliv), frac_children_health_facility,1)</f>
        <v>0.79799999999999993</v>
      </c>
      <c r="F10" s="47">
        <f>IF(ISBLANK(comm_deliv), frac_children_health_facility,1)</f>
        <v>0.79799999999999993</v>
      </c>
      <c r="G10" s="47">
        <f>IF(ISBLANK(comm_deliv), frac_children_health_facility,1)</f>
        <v>0.79799999999999993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0.53500000000000003</v>
      </c>
      <c r="I15" s="47">
        <f>food_insecure</f>
        <v>0.53500000000000003</v>
      </c>
      <c r="J15" s="47">
        <f>food_insecure</f>
        <v>0.53500000000000003</v>
      </c>
      <c r="K15" s="47">
        <f>food_insecure</f>
        <v>0.53500000000000003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0.93500000000000005</v>
      </c>
      <c r="I18" s="47">
        <f>frac_PW_health_facility</f>
        <v>0.93500000000000005</v>
      </c>
      <c r="J18" s="47">
        <f>frac_PW_health_facility</f>
        <v>0.93500000000000005</v>
      </c>
      <c r="K18" s="47">
        <f>frac_PW_health_facility</f>
        <v>0.93500000000000005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0.99</v>
      </c>
      <c r="I19" s="47">
        <f>frac_malaria_risk</f>
        <v>0.99</v>
      </c>
      <c r="J19" s="47">
        <f>frac_malaria_risk</f>
        <v>0.99</v>
      </c>
      <c r="K19" s="47">
        <f>frac_malaria_risk</f>
        <v>0.99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0.249</v>
      </c>
      <c r="M24" s="47">
        <f>famplan_unmet_need</f>
        <v>0.249</v>
      </c>
      <c r="N24" s="47">
        <f>famplan_unmet_need</f>
        <v>0.249</v>
      </c>
      <c r="O24" s="47">
        <f>famplan_unmet_need</f>
        <v>0.249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5.7068011787414274E-2</v>
      </c>
      <c r="M25" s="47">
        <f>(1-food_insecure)*(0.49)+food_insecure*(0.7)</f>
        <v>0.60234999999999994</v>
      </c>
      <c r="N25" s="47">
        <f>(1-food_insecure)*(0.49)+food_insecure*(0.7)</f>
        <v>0.60234999999999994</v>
      </c>
      <c r="O25" s="47">
        <f>(1-food_insecure)*(0.49)+food_insecure*(0.7)</f>
        <v>0.60234999999999994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2.4457719337463261E-2</v>
      </c>
      <c r="M26" s="47">
        <f>(1-food_insecure)*(0.21)+food_insecure*(0.3)</f>
        <v>0.25814999999999999</v>
      </c>
      <c r="N26" s="47">
        <f>(1-food_insecure)*(0.21)+food_insecure*(0.3)</f>
        <v>0.25814999999999999</v>
      </c>
      <c r="O26" s="47">
        <f>(1-food_insecure)*(0.21)+food_insecure*(0.3)</f>
        <v>0.25814999999999999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1.3216547927856379E-2</v>
      </c>
      <c r="M27" s="47">
        <f>(1-food_insecure)*(0.3)</f>
        <v>0.13949999999999999</v>
      </c>
      <c r="N27" s="47">
        <f>(1-food_insecure)*(0.3)</f>
        <v>0.13949999999999999</v>
      </c>
      <c r="O27" s="47">
        <f>(1-food_insecure)*(0.3)</f>
        <v>0.13949999999999999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0.90525772094726609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0.99</v>
      </c>
      <c r="D34" s="47">
        <f t="shared" si="3"/>
        <v>0.99</v>
      </c>
      <c r="E34" s="47">
        <f t="shared" si="3"/>
        <v>0.99</v>
      </c>
      <c r="F34" s="47">
        <f t="shared" si="3"/>
        <v>0.99</v>
      </c>
      <c r="G34" s="47">
        <f t="shared" si="3"/>
        <v>0.99</v>
      </c>
      <c r="H34" s="47">
        <f t="shared" si="3"/>
        <v>0.99</v>
      </c>
      <c r="I34" s="47">
        <f t="shared" si="3"/>
        <v>0.99</v>
      </c>
      <c r="J34" s="47">
        <f t="shared" si="3"/>
        <v>0.99</v>
      </c>
      <c r="K34" s="47">
        <f t="shared" si="3"/>
        <v>0.99</v>
      </c>
      <c r="L34" s="47">
        <f t="shared" si="3"/>
        <v>0.99</v>
      </c>
      <c r="M34" s="47">
        <f t="shared" si="3"/>
        <v>0.99</v>
      </c>
      <c r="N34" s="47">
        <f t="shared" si="3"/>
        <v>0.99</v>
      </c>
      <c r="O34" s="47">
        <f t="shared" si="3"/>
        <v>0.99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2023-01-25T00:11:22Z</dcterms:modified>
</cp:coreProperties>
</file>