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4E27A751-0AEE-4C1E-9703-E7820ACE5717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I38" i="2" s="1"/>
  <c r="G38" i="2"/>
  <c r="H37" i="2"/>
  <c r="G37" i="2"/>
  <c r="I37" i="2" s="1"/>
  <c r="H36" i="2"/>
  <c r="I36" i="2" s="1"/>
  <c r="G36" i="2"/>
  <c r="H35" i="2"/>
  <c r="G35" i="2"/>
  <c r="I35" i="2" s="1"/>
  <c r="H34" i="2"/>
  <c r="I34" i="2" s="1"/>
  <c r="G34" i="2"/>
  <c r="H33" i="2"/>
  <c r="G33" i="2"/>
  <c r="I33" i="2" s="1"/>
  <c r="H32" i="2"/>
  <c r="I32" i="2" s="1"/>
  <c r="G32" i="2"/>
  <c r="H31" i="2"/>
  <c r="G31" i="2"/>
  <c r="I31" i="2" s="1"/>
  <c r="H30" i="2"/>
  <c r="I30" i="2" s="1"/>
  <c r="G30" i="2"/>
  <c r="H29" i="2"/>
  <c r="G29" i="2"/>
  <c r="I29" i="2" s="1"/>
  <c r="H28" i="2"/>
  <c r="I28" i="2" s="1"/>
  <c r="G28" i="2"/>
  <c r="H27" i="2"/>
  <c r="G27" i="2"/>
  <c r="I27" i="2" s="1"/>
  <c r="H26" i="2"/>
  <c r="I26" i="2" s="1"/>
  <c r="G26" i="2"/>
  <c r="H25" i="2"/>
  <c r="G25" i="2"/>
  <c r="I25" i="2" s="1"/>
  <c r="H24" i="2"/>
  <c r="I24" i="2" s="1"/>
  <c r="G24" i="2"/>
  <c r="H23" i="2"/>
  <c r="G23" i="2"/>
  <c r="I23" i="2" s="1"/>
  <c r="H22" i="2"/>
  <c r="I22" i="2" s="1"/>
  <c r="G22" i="2"/>
  <c r="H21" i="2"/>
  <c r="G21" i="2"/>
  <c r="I21" i="2" s="1"/>
  <c r="H20" i="2"/>
  <c r="I20" i="2" s="1"/>
  <c r="G20" i="2"/>
  <c r="H19" i="2"/>
  <c r="G19" i="2"/>
  <c r="I19" i="2" s="1"/>
  <c r="H18" i="2"/>
  <c r="I18" i="2" s="1"/>
  <c r="G18" i="2"/>
  <c r="H17" i="2"/>
  <c r="G17" i="2"/>
  <c r="I17" i="2" s="1"/>
  <c r="H16" i="2"/>
  <c r="I16" i="2" s="1"/>
  <c r="G16" i="2"/>
  <c r="H15" i="2"/>
  <c r="G15" i="2"/>
  <c r="I15" i="2" s="1"/>
  <c r="H14" i="2"/>
  <c r="I14" i="2" s="1"/>
  <c r="G14" i="2"/>
  <c r="H13" i="2"/>
  <c r="G13" i="2"/>
  <c r="I13" i="2" s="1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H2" i="2"/>
  <c r="I2" i="2" s="1"/>
  <c r="G2" i="2"/>
  <c r="A2" i="2"/>
  <c r="A26" i="2" s="1"/>
  <c r="C33" i="1"/>
  <c r="C20" i="1"/>
  <c r="A3" i="2" l="1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12" i="2"/>
  <c r="A14" i="2"/>
  <c r="A16" i="2"/>
  <c r="A18" i="2"/>
  <c r="A20" i="2"/>
  <c r="A22" i="2"/>
  <c r="A24" i="2"/>
  <c r="A28" i="2"/>
  <c r="A30" i="2"/>
  <c r="A32" i="2"/>
  <c r="A34" i="2"/>
  <c r="A36" i="2"/>
  <c r="A38" i="2"/>
  <c r="A40" i="2"/>
  <c r="A4" i="2"/>
  <c r="A5" i="2" s="1"/>
  <c r="A6" i="2" s="1"/>
  <c r="A7" i="2" s="1"/>
  <c r="A8" i="2" s="1"/>
  <c r="A9" i="2" s="1"/>
  <c r="A10" i="2" s="1"/>
  <c r="A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<sst xmlns="http://schemas.openxmlformats.org/spreadsheetml/2006/main" count="2093" uniqueCount="335">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</sst>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204776.685546875</v>
      </c>
    </row>
    <row r="8" spans="1:3" ht="15" customHeight="1" x14ac:dyDescent="0.25">
      <c r="B8" s="69" t="s">
        <v>8</v>
      </c>
      <c r="C8" s="32">
        <v>1.4999999999999999E-2</v>
      </c>
    </row>
    <row r="9" spans="1:3" ht="15" customHeight="1" x14ac:dyDescent="0.25">
      <c r="B9" s="69" t="s">
        <v>9</v>
      </c>
      <c r="C9" s="33">
        <v>0.97</v>
      </c>
    </row>
    <row r="10" spans="1:3" ht="15" customHeight="1" x14ac:dyDescent="0.25">
      <c r="B10" s="69" t="s">
        <v>10</v>
      </c>
      <c r="C10" s="33">
        <v>0.41391979217529301</v>
      </c>
    </row>
    <row r="11" spans="1:3" ht="15" customHeight="1" x14ac:dyDescent="0.25">
      <c r="B11" s="69" t="s">
        <v>11</v>
      </c>
      <c r="C11" s="32">
        <v>0.7609999999999999</v>
      </c>
    </row>
    <row r="12" spans="1:3" ht="15" customHeight="1" x14ac:dyDescent="0.25">
      <c r="B12" s="69" t="s">
        <v>12</v>
      </c>
      <c r="C12" s="32">
        <v>0.59599999999999997</v>
      </c>
    </row>
    <row r="13" spans="1:3" ht="15" customHeight="1" x14ac:dyDescent="0.25">
      <c r="B13" s="69" t="s">
        <v>13</v>
      </c>
      <c r="C13" s="32">
        <v>0.19400000000000001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0.12809999999999999</v>
      </c>
    </row>
    <row r="24" spans="1:3" ht="15" customHeight="1" x14ac:dyDescent="0.25">
      <c r="B24" s="7" t="s">
        <v>22</v>
      </c>
      <c r="C24" s="33">
        <v>0.52129999999999999</v>
      </c>
    </row>
    <row r="25" spans="1:3" ht="15" customHeight="1" x14ac:dyDescent="0.25">
      <c r="B25" s="7" t="s">
        <v>23</v>
      </c>
      <c r="C25" s="33">
        <v>0.2964</v>
      </c>
    </row>
    <row r="26" spans="1:3" ht="15" customHeight="1" x14ac:dyDescent="0.25">
      <c r="B26" s="7" t="s">
        <v>24</v>
      </c>
      <c r="C26" s="33">
        <v>5.4199999999999998E-2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0.19675086525509</v>
      </c>
    </row>
    <row r="30" spans="1:3" ht="14.25" customHeight="1" x14ac:dyDescent="0.25">
      <c r="B30" s="15" t="s">
        <v>27</v>
      </c>
      <c r="C30" s="42">
        <v>5.4334968835213812E-2</v>
      </c>
    </row>
    <row r="31" spans="1:3" ht="14.25" customHeight="1" x14ac:dyDescent="0.25">
      <c r="B31" s="15" t="s">
        <v>28</v>
      </c>
      <c r="C31" s="42">
        <v>0.12809177283586601</v>
      </c>
    </row>
    <row r="32" spans="1:3" ht="14.25" customHeight="1" x14ac:dyDescent="0.25">
      <c r="B32" s="15" t="s">
        <v>29</v>
      </c>
      <c r="C32" s="42">
        <v>0.62082239307383003</v>
      </c>
    </row>
    <row r="33" spans="1:5" ht="13.2" customHeight="1" x14ac:dyDescent="0.25">
      <c r="B33" s="16" t="s">
        <v>30</v>
      </c>
      <c r="C33" s="98">
        <f>SUM(C29:C32)</f>
        <v>0.99999999999999989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29.005217026656702</v>
      </c>
    </row>
    <row r="38" spans="1:5" ht="15" customHeight="1" x14ac:dyDescent="0.25">
      <c r="B38" s="65" t="s">
        <v>34</v>
      </c>
      <c r="C38" s="94">
        <v>60.412524959319803</v>
      </c>
      <c r="D38" s="5"/>
      <c r="E38" s="6"/>
    </row>
    <row r="39" spans="1:5" ht="15" customHeight="1" x14ac:dyDescent="0.25">
      <c r="B39" s="65" t="s">
        <v>35</v>
      </c>
      <c r="C39" s="94">
        <v>81.846654138467002</v>
      </c>
      <c r="D39" s="5"/>
      <c r="E39" s="5"/>
    </row>
    <row r="40" spans="1:5" ht="15" customHeight="1" x14ac:dyDescent="0.25">
      <c r="B40" s="65" t="s">
        <v>36</v>
      </c>
      <c r="C40" s="94">
        <v>3.01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15.07910517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2.6140900000000002E-2</v>
      </c>
      <c r="D45" s="5"/>
    </row>
    <row r="46" spans="1:5" ht="15.75" customHeight="1" x14ac:dyDescent="0.25">
      <c r="B46" s="65" t="s">
        <v>41</v>
      </c>
      <c r="C46" s="33">
        <v>0.1385284</v>
      </c>
      <c r="D46" s="5"/>
    </row>
    <row r="47" spans="1:5" ht="15.75" customHeight="1" x14ac:dyDescent="0.25">
      <c r="B47" s="65" t="s">
        <v>42</v>
      </c>
      <c r="C47" s="33">
        <v>0.22865260000000001</v>
      </c>
      <c r="D47" s="5"/>
      <c r="E47" s="6"/>
    </row>
    <row r="48" spans="1:5" ht="15" customHeight="1" x14ac:dyDescent="0.25">
      <c r="B48" s="65" t="s">
        <v>43</v>
      </c>
      <c r="C48" s="97">
        <v>0.6066781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0.42923099999999997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0.10321427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38780.033600000002</v>
      </c>
      <c r="C2" s="37">
        <v>76000</v>
      </c>
      <c r="D2" s="37">
        <v>146000</v>
      </c>
      <c r="E2" s="37">
        <v>119000</v>
      </c>
      <c r="F2" s="37">
        <v>64000</v>
      </c>
      <c r="G2" s="9">
        <f t="shared" ref="G2:G40" si="0">C2+D2+E2+F2</f>
        <v>405000</v>
      </c>
      <c r="H2" s="9">
        <f t="shared" ref="H2:H40" si="1">(B2 + stillbirth*B2/(1000-stillbirth))/(1-abortion)</f>
        <v>44742.902939028725</v>
      </c>
      <c r="I2" s="9">
        <f t="shared" ref="I2:I40" si="2">G2-H2</f>
        <v>360257.09706097125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38664.828399999999</v>
      </c>
      <c r="C3" s="37">
        <v>77000</v>
      </c>
      <c r="D3" s="37">
        <v>145000</v>
      </c>
      <c r="E3" s="37">
        <v>123000</v>
      </c>
      <c r="F3" s="37">
        <v>67000</v>
      </c>
      <c r="G3" s="9">
        <f t="shared" si="0"/>
        <v>412000</v>
      </c>
      <c r="H3" s="9">
        <f t="shared" si="1"/>
        <v>44609.983634862067</v>
      </c>
      <c r="I3" s="9">
        <f t="shared" si="2"/>
        <v>367390.01636513794</v>
      </c>
    </row>
    <row r="4" spans="1:9" ht="15.75" customHeight="1" x14ac:dyDescent="0.25">
      <c r="A4" s="69">
        <f t="shared" si="3"/>
        <v>2023</v>
      </c>
      <c r="B4" s="36">
        <v>38552.716</v>
      </c>
      <c r="C4" s="37">
        <v>79000</v>
      </c>
      <c r="D4" s="37">
        <v>145000</v>
      </c>
      <c r="E4" s="37">
        <v>127000</v>
      </c>
      <c r="F4" s="37">
        <v>70000</v>
      </c>
      <c r="G4" s="9">
        <f t="shared" si="0"/>
        <v>421000</v>
      </c>
      <c r="H4" s="9">
        <f t="shared" si="1"/>
        <v>44480.632683720505</v>
      </c>
      <c r="I4" s="9">
        <f t="shared" si="2"/>
        <v>376519.3673162795</v>
      </c>
    </row>
    <row r="5" spans="1:9" ht="15.75" customHeight="1" x14ac:dyDescent="0.25">
      <c r="A5" s="69">
        <f t="shared" si="3"/>
        <v>2024</v>
      </c>
      <c r="B5" s="36">
        <v>38392.145400000001</v>
      </c>
      <c r="C5" s="37">
        <v>80000</v>
      </c>
      <c r="D5" s="37">
        <v>145000</v>
      </c>
      <c r="E5" s="37">
        <v>130000</v>
      </c>
      <c r="F5" s="37">
        <v>75000</v>
      </c>
      <c r="G5" s="9">
        <f t="shared" si="0"/>
        <v>430000</v>
      </c>
      <c r="H5" s="9">
        <f t="shared" si="1"/>
        <v>44295.372535553397</v>
      </c>
      <c r="I5" s="9">
        <f t="shared" si="2"/>
        <v>385704.62746444659</v>
      </c>
    </row>
    <row r="6" spans="1:9" ht="15.75" customHeight="1" x14ac:dyDescent="0.25">
      <c r="A6" s="69">
        <f t="shared" si="3"/>
        <v>2025</v>
      </c>
      <c r="B6" s="36">
        <v>38184.58</v>
      </c>
      <c r="C6" s="37">
        <v>81000</v>
      </c>
      <c r="D6" s="37">
        <v>146000</v>
      </c>
      <c r="E6" s="37">
        <v>132000</v>
      </c>
      <c r="F6" s="37">
        <v>79000</v>
      </c>
      <c r="G6" s="9">
        <f t="shared" si="0"/>
        <v>438000</v>
      </c>
      <c r="H6" s="9">
        <f t="shared" si="1"/>
        <v>44055.891604683326</v>
      </c>
      <c r="I6" s="9">
        <f t="shared" si="2"/>
        <v>393944.1083953167</v>
      </c>
    </row>
    <row r="7" spans="1:9" ht="15.75" customHeight="1" x14ac:dyDescent="0.25">
      <c r="A7" s="69">
        <f t="shared" si="3"/>
        <v>2026</v>
      </c>
      <c r="B7" s="36">
        <v>38123.217600000004</v>
      </c>
      <c r="C7" s="37">
        <v>83000</v>
      </c>
      <c r="D7" s="37">
        <v>147000</v>
      </c>
      <c r="E7" s="37">
        <v>134000</v>
      </c>
      <c r="F7" s="37">
        <v>83000</v>
      </c>
      <c r="G7" s="9">
        <f t="shared" si="0"/>
        <v>447000</v>
      </c>
      <c r="H7" s="9">
        <f t="shared" si="1"/>
        <v>43985.094040771321</v>
      </c>
      <c r="I7" s="9">
        <f t="shared" si="2"/>
        <v>403014.90595922869</v>
      </c>
    </row>
    <row r="8" spans="1:9" ht="15.75" customHeight="1" x14ac:dyDescent="0.25">
      <c r="A8" s="69">
        <f t="shared" si="3"/>
        <v>2027</v>
      </c>
      <c r="B8" s="36">
        <v>38019.840000000011</v>
      </c>
      <c r="C8" s="37">
        <v>84000</v>
      </c>
      <c r="D8" s="37">
        <v>147000</v>
      </c>
      <c r="E8" s="37">
        <v>135000</v>
      </c>
      <c r="F8" s="37">
        <v>89000</v>
      </c>
      <c r="G8" s="9">
        <f t="shared" si="0"/>
        <v>455000</v>
      </c>
      <c r="H8" s="9">
        <f t="shared" si="1"/>
        <v>43865.820964048929</v>
      </c>
      <c r="I8" s="9">
        <f t="shared" si="2"/>
        <v>411134.17903595109</v>
      </c>
    </row>
    <row r="9" spans="1:9" ht="15.75" customHeight="1" x14ac:dyDescent="0.25">
      <c r="A9" s="69">
        <f t="shared" si="3"/>
        <v>2028</v>
      </c>
      <c r="B9" s="36">
        <v>37899.003200000006</v>
      </c>
      <c r="C9" s="37">
        <v>85000</v>
      </c>
      <c r="D9" s="37">
        <v>148000</v>
      </c>
      <c r="E9" s="37">
        <v>136000</v>
      </c>
      <c r="F9" s="37">
        <v>94000</v>
      </c>
      <c r="G9" s="9">
        <f t="shared" si="0"/>
        <v>463000</v>
      </c>
      <c r="H9" s="9">
        <f t="shared" si="1"/>
        <v>43726.404137605983</v>
      </c>
      <c r="I9" s="9">
        <f t="shared" si="2"/>
        <v>419273.59586239402</v>
      </c>
    </row>
    <row r="10" spans="1:9" ht="15.75" customHeight="1" x14ac:dyDescent="0.25">
      <c r="A10" s="69">
        <f t="shared" si="3"/>
        <v>2029</v>
      </c>
      <c r="B10" s="36">
        <v>37783.676000000007</v>
      </c>
      <c r="C10" s="37">
        <v>86000</v>
      </c>
      <c r="D10" s="37">
        <v>151000</v>
      </c>
      <c r="E10" s="37">
        <v>137000</v>
      </c>
      <c r="F10" s="37">
        <v>98000</v>
      </c>
      <c r="G10" s="9">
        <f t="shared" si="0"/>
        <v>472000</v>
      </c>
      <c r="H10" s="9">
        <f t="shared" si="1"/>
        <v>43593.344074557717</v>
      </c>
      <c r="I10" s="9">
        <f t="shared" si="2"/>
        <v>428406.65592544229</v>
      </c>
    </row>
    <row r="11" spans="1:9" ht="15.75" customHeight="1" x14ac:dyDescent="0.25">
      <c r="A11" s="69">
        <f t="shared" si="3"/>
        <v>2030</v>
      </c>
      <c r="B11" s="36">
        <v>37604.951999999997</v>
      </c>
      <c r="C11" s="37">
        <v>87000</v>
      </c>
      <c r="D11" s="37">
        <v>152000</v>
      </c>
      <c r="E11" s="37">
        <v>137000</v>
      </c>
      <c r="F11" s="37">
        <v>103000</v>
      </c>
      <c r="G11" s="9">
        <f t="shared" si="0"/>
        <v>479000</v>
      </c>
      <c r="H11" s="9">
        <f t="shared" si="1"/>
        <v>43387.139235558418</v>
      </c>
      <c r="I11" s="9">
        <f t="shared" si="2"/>
        <v>435612.8607644416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2976704.2177780392</v>
      </c>
      <c r="I12" s="9">
        <f t="shared" si="2"/>
        <v>15606964.782221962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3034392.2840140481</v>
      </c>
      <c r="I13" s="9">
        <f t="shared" si="2"/>
        <v>16140187.715985952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3103617.9634972583</v>
      </c>
      <c r="I14" s="9">
        <f t="shared" si="2"/>
        <v>16672638.036502741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3161306.0297332667</v>
      </c>
      <c r="I15" s="9">
        <f t="shared" si="2"/>
        <v>17225421.970266733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1.0024559256756931E-2</v>
      </c>
    </row>
    <row r="4" spans="1:8" ht="15.75" customHeight="1" x14ac:dyDescent="0.25">
      <c r="B4" s="11" t="s">
        <v>69</v>
      </c>
      <c r="C4" s="38">
        <v>9.6679763631924334E-2</v>
      </c>
    </row>
    <row r="5" spans="1:8" ht="15.75" customHeight="1" x14ac:dyDescent="0.25">
      <c r="B5" s="11" t="s">
        <v>70</v>
      </c>
      <c r="C5" s="38">
        <v>7.2481780052522038E-2</v>
      </c>
    </row>
    <row r="6" spans="1:8" ht="15.75" customHeight="1" x14ac:dyDescent="0.25">
      <c r="B6" s="11" t="s">
        <v>71</v>
      </c>
      <c r="C6" s="38">
        <v>0.3070462971818726</v>
      </c>
    </row>
    <row r="7" spans="1:8" ht="15.75" customHeight="1" x14ac:dyDescent="0.25">
      <c r="B7" s="11" t="s">
        <v>72</v>
      </c>
      <c r="C7" s="38">
        <v>0.31418211522061812</v>
      </c>
    </row>
    <row r="8" spans="1:8" ht="15.75" customHeight="1" x14ac:dyDescent="0.25">
      <c r="B8" s="11" t="s">
        <v>73</v>
      </c>
      <c r="C8" s="38">
        <v>1.5948282635923398E-2</v>
      </c>
    </row>
    <row r="9" spans="1:8" ht="15.75" customHeight="1" x14ac:dyDescent="0.25">
      <c r="B9" s="11" t="s">
        <v>74</v>
      </c>
      <c r="C9" s="38">
        <v>7.9035157105624143E-2</v>
      </c>
    </row>
    <row r="10" spans="1:8" ht="15.75" customHeight="1" x14ac:dyDescent="0.25">
      <c r="B10" s="11" t="s">
        <v>75</v>
      </c>
      <c r="C10" s="38">
        <v>0.1046020449147585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9.095171912479158E-2</v>
      </c>
      <c r="D14" s="38">
        <v>9.095171912479158E-2</v>
      </c>
      <c r="E14" s="38">
        <v>9.095171912479158E-2</v>
      </c>
      <c r="F14" s="38">
        <v>9.095171912479158E-2</v>
      </c>
    </row>
    <row r="15" spans="1:8" ht="15.75" customHeight="1" x14ac:dyDescent="0.25">
      <c r="B15" s="11" t="s">
        <v>82</v>
      </c>
      <c r="C15" s="38">
        <v>0.1716411339211116</v>
      </c>
      <c r="D15" s="38">
        <v>0.1716411339211116</v>
      </c>
      <c r="E15" s="38">
        <v>0.1716411339211116</v>
      </c>
      <c r="F15" s="38">
        <v>0.1716411339211116</v>
      </c>
    </row>
    <row r="16" spans="1:8" ht="15.75" customHeight="1" x14ac:dyDescent="0.25">
      <c r="B16" s="11" t="s">
        <v>83</v>
      </c>
      <c r="C16" s="38">
        <v>1.4349124773716341E-2</v>
      </c>
      <c r="D16" s="38">
        <v>1.4349124773716341E-2</v>
      </c>
      <c r="E16" s="38">
        <v>1.4349124773716341E-2</v>
      </c>
      <c r="F16" s="38">
        <v>1.4349124773716341E-2</v>
      </c>
    </row>
    <row r="17" spans="1:8" ht="15.75" customHeight="1" x14ac:dyDescent="0.25">
      <c r="B17" s="11" t="s">
        <v>84</v>
      </c>
      <c r="C17" s="38">
        <v>2.9503336763921941E-2</v>
      </c>
      <c r="D17" s="38">
        <v>2.9503336763921941E-2</v>
      </c>
      <c r="E17" s="38">
        <v>2.9503336763921941E-2</v>
      </c>
      <c r="F17" s="38">
        <v>2.9503336763921941E-2</v>
      </c>
    </row>
    <row r="18" spans="1:8" ht="15.75" customHeight="1" x14ac:dyDescent="0.25">
      <c r="B18" s="11" t="s">
        <v>85</v>
      </c>
      <c r="C18" s="38">
        <v>0.2226016669960329</v>
      </c>
      <c r="D18" s="38">
        <v>0.2226016669960329</v>
      </c>
      <c r="E18" s="38">
        <v>0.2226016669960329</v>
      </c>
      <c r="F18" s="38">
        <v>0.2226016669960329</v>
      </c>
    </row>
    <row r="19" spans="1:8" ht="15.75" customHeight="1" x14ac:dyDescent="0.25">
      <c r="B19" s="11" t="s">
        <v>86</v>
      </c>
      <c r="C19" s="38">
        <v>1.7005759860645349E-2</v>
      </c>
      <c r="D19" s="38">
        <v>1.7005759860645349E-2</v>
      </c>
      <c r="E19" s="38">
        <v>1.7005759860645349E-2</v>
      </c>
      <c r="F19" s="38">
        <v>1.7005759860645349E-2</v>
      </c>
    </row>
    <row r="20" spans="1:8" ht="15.75" customHeight="1" x14ac:dyDescent="0.25">
      <c r="B20" s="11" t="s">
        <v>87</v>
      </c>
      <c r="C20" s="38">
        <v>0.205717150877298</v>
      </c>
      <c r="D20" s="38">
        <v>0.205717150877298</v>
      </c>
      <c r="E20" s="38">
        <v>0.205717150877298</v>
      </c>
      <c r="F20" s="38">
        <v>0.205717150877298</v>
      </c>
    </row>
    <row r="21" spans="1:8" ht="15.75" customHeight="1" x14ac:dyDescent="0.25">
      <c r="B21" s="11" t="s">
        <v>88</v>
      </c>
      <c r="C21" s="38">
        <v>4.973901332688601E-2</v>
      </c>
      <c r="D21" s="38">
        <v>4.973901332688601E-2</v>
      </c>
      <c r="E21" s="38">
        <v>4.973901332688601E-2</v>
      </c>
      <c r="F21" s="38">
        <v>4.973901332688601E-2</v>
      </c>
    </row>
    <row r="22" spans="1:8" ht="15.75" customHeight="1" x14ac:dyDescent="0.25">
      <c r="B22" s="11" t="s">
        <v>89</v>
      </c>
      <c r="C22" s="38">
        <v>0.19849109435559631</v>
      </c>
      <c r="D22" s="38">
        <v>0.19849109435559631</v>
      </c>
      <c r="E22" s="38">
        <v>0.19849109435559631</v>
      </c>
      <c r="F22" s="38">
        <v>0.19849109435559631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8.6943652999999996E-2</v>
      </c>
    </row>
    <row r="27" spans="1:8" ht="15.75" customHeight="1" x14ac:dyDescent="0.25">
      <c r="B27" s="11" t="s">
        <v>92</v>
      </c>
      <c r="C27" s="38">
        <v>8.5220880000000006E-3</v>
      </c>
    </row>
    <row r="28" spans="1:8" ht="15.75" customHeight="1" x14ac:dyDescent="0.25">
      <c r="B28" s="11" t="s">
        <v>93</v>
      </c>
      <c r="C28" s="38">
        <v>0.152896541</v>
      </c>
    </row>
    <row r="29" spans="1:8" ht="15.75" customHeight="1" x14ac:dyDescent="0.25">
      <c r="B29" s="11" t="s">
        <v>94</v>
      </c>
      <c r="C29" s="38">
        <v>0.16599547100000001</v>
      </c>
    </row>
    <row r="30" spans="1:8" ht="15.75" customHeight="1" x14ac:dyDescent="0.25">
      <c r="B30" s="11" t="s">
        <v>95</v>
      </c>
      <c r="C30" s="38">
        <v>0.10566703099999999</v>
      </c>
    </row>
    <row r="31" spans="1:8" ht="15.75" customHeight="1" x14ac:dyDescent="0.25">
      <c r="B31" s="11" t="s">
        <v>96</v>
      </c>
      <c r="C31" s="38">
        <v>0.108493031</v>
      </c>
    </row>
    <row r="32" spans="1:8" ht="15.75" customHeight="1" x14ac:dyDescent="0.25">
      <c r="B32" s="11" t="s">
        <v>97</v>
      </c>
      <c r="C32" s="38">
        <v>1.8539073999999999E-2</v>
      </c>
    </row>
    <row r="33" spans="2:3" ht="15.75" customHeight="1" x14ac:dyDescent="0.25">
      <c r="B33" s="11" t="s">
        <v>98</v>
      </c>
      <c r="C33" s="38">
        <v>8.3873541999999995E-2</v>
      </c>
    </row>
    <row r="34" spans="2:3" ht="15.75" customHeight="1" x14ac:dyDescent="0.25">
      <c r="B34" s="11" t="s">
        <v>99</v>
      </c>
      <c r="C34" s="38">
        <v>0.26906956999999998</v>
      </c>
    </row>
    <row r="35" spans="2:3" ht="15.75" customHeight="1" x14ac:dyDescent="0.25">
      <c r="B35" s="16" t="s">
        <v>30</v>
      </c>
      <c r="C35" s="98">
        <f>SUM(C26:C34)</f>
        <v>1.0000000009999999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0.51176168394192467</v>
      </c>
      <c r="D2" s="99">
        <f>IFERROR(1-_xlfn.NORM.DIST(_xlfn.NORM.INV(SUM(D4:D5), 0, 1) + 1, 0, 1, TRUE), "")</f>
        <v>0.51176168394192467</v>
      </c>
      <c r="E2" s="99">
        <f>IFERROR(1-_xlfn.NORM.DIST(_xlfn.NORM.INV(SUM(E4:E5), 0, 1) + 1, 0, 1, TRUE), "")</f>
        <v>0.45681791986706566</v>
      </c>
      <c r="F2" s="99">
        <f>IFERROR(1-_xlfn.NORM.DIST(_xlfn.NORM.INV(SUM(F4:F5), 0, 1) + 1, 0, 1, TRUE), "")</f>
        <v>0.26981463829626573</v>
      </c>
      <c r="G2" s="99">
        <f>IFERROR(1-_xlfn.NORM.DIST(_xlfn.NORM.INV(SUM(G4:G5), 0, 1) + 1, 0, 1, TRUE), "")</f>
        <v>0.24211129681004595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0.33661274221110715</v>
      </c>
      <c r="D3" s="99">
        <f>IFERROR(_xlfn.NORM.DIST(_xlfn.NORM.INV(SUM(D4:D5), 0, 1) + 1, 0, 1, TRUE) - SUM(D4:D5), "")</f>
        <v>0.33661274221110715</v>
      </c>
      <c r="E3" s="99">
        <f>IFERROR(_xlfn.NORM.DIST(_xlfn.NORM.INV(SUM(E4:E5), 0, 1) + 1, 0, 1, TRUE) - SUM(E4:E5), "")</f>
        <v>0.35686400945506846</v>
      </c>
      <c r="F3" s="99">
        <f>IFERROR(_xlfn.NORM.DIST(_xlfn.NORM.INV(SUM(F4:F5), 0, 1) + 1, 0, 1, TRUE) - SUM(F4:F5), "")</f>
        <v>0.38066892199807328</v>
      </c>
      <c r="G3" s="99">
        <f>IFERROR(_xlfn.NORM.DIST(_xlfn.NORM.INV(SUM(G4:G5), 0, 1) + 1, 0, 1, TRUE) - SUM(G4:G5), "")</f>
        <v>0.37598041626208606</v>
      </c>
    </row>
    <row r="4" spans="1:15" ht="15.75" customHeight="1" x14ac:dyDescent="0.25">
      <c r="B4" s="69" t="s">
        <v>104</v>
      </c>
      <c r="C4" s="39">
        <v>8.58190532050008E-2</v>
      </c>
      <c r="D4" s="39">
        <v>8.58190532050008E-2</v>
      </c>
      <c r="E4" s="39">
        <v>0.10849992686993</v>
      </c>
      <c r="F4" s="39">
        <v>0.196529120835613</v>
      </c>
      <c r="G4" s="39">
        <v>0.203917682529314</v>
      </c>
    </row>
    <row r="5" spans="1:15" ht="15.75" customHeight="1" x14ac:dyDescent="0.25">
      <c r="B5" s="69" t="s">
        <v>105</v>
      </c>
      <c r="C5" s="39">
        <v>6.5806520641967403E-2</v>
      </c>
      <c r="D5" s="39">
        <v>6.5806520641967403E-2</v>
      </c>
      <c r="E5" s="39">
        <v>7.7818143807935905E-2</v>
      </c>
      <c r="F5" s="39">
        <v>0.15298731887004799</v>
      </c>
      <c r="G5" s="39">
        <v>0.17799060439855399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0.5611037003185233</v>
      </c>
      <c r="D8" s="99">
        <f>IFERROR(1-_xlfn.NORM.DIST(_xlfn.NORM.INV(SUM(D10:D11), 0, 1) + 1, 0, 1, TRUE), "")</f>
        <v>0.5611037003185233</v>
      </c>
      <c r="E8" s="99">
        <f>IFERROR(1-_xlfn.NORM.DIST(_xlfn.NORM.INV(SUM(E10:E11), 0, 1) + 1, 0, 1, TRUE), "")</f>
        <v>0.49532382510254602</v>
      </c>
      <c r="F8" s="99">
        <f>IFERROR(1-_xlfn.NORM.DIST(_xlfn.NORM.INV(SUM(F10:F11), 0, 1) + 1, 0, 1, TRUE), "")</f>
        <v>0.55443480549473745</v>
      </c>
      <c r="G8" s="99">
        <f>IFERROR(1-_xlfn.NORM.DIST(_xlfn.NORM.INV(SUM(G10:G11), 0, 1) + 1, 0, 1, TRUE), "")</f>
        <v>0.68762994887632833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0.31459866861867092</v>
      </c>
      <c r="D9" s="99">
        <f>IFERROR(_xlfn.NORM.DIST(_xlfn.NORM.INV(SUM(D10:D11), 0, 1) + 1, 0, 1, TRUE) - SUM(D10:D11), "")</f>
        <v>0.31459866861867092</v>
      </c>
      <c r="E9" s="99">
        <f>IFERROR(_xlfn.NORM.DIST(_xlfn.NORM.INV(SUM(E10:E11), 0, 1) + 1, 0, 1, TRUE) - SUM(E10:E11), "")</f>
        <v>0.34316798977380808</v>
      </c>
      <c r="F9" s="99">
        <f>IFERROR(_xlfn.NORM.DIST(_xlfn.NORM.INV(SUM(F10:F11), 0, 1) + 1, 0, 1, TRUE) - SUM(F10:F11), "")</f>
        <v>0.31776971356947803</v>
      </c>
      <c r="G9" s="99">
        <f>IFERROR(_xlfn.NORM.DIST(_xlfn.NORM.INV(SUM(G10:G11), 0, 1) + 1, 0, 1, TRUE) - SUM(G10:G11), "")</f>
        <v>0.24414525937919757</v>
      </c>
    </row>
    <row r="10" spans="1:15" ht="15.75" customHeight="1" x14ac:dyDescent="0.25">
      <c r="B10" s="69" t="s">
        <v>109</v>
      </c>
      <c r="C10" s="39">
        <v>7.4508837978260592E-2</v>
      </c>
      <c r="D10" s="39">
        <v>7.4508837978260592E-2</v>
      </c>
      <c r="E10" s="39">
        <v>0.106223732414144</v>
      </c>
      <c r="F10" s="39">
        <v>8.4788969847719692E-2</v>
      </c>
      <c r="G10" s="39">
        <v>4.7211848659870402E-2</v>
      </c>
    </row>
    <row r="11" spans="1:15" ht="15.75" customHeight="1" x14ac:dyDescent="0.25">
      <c r="B11" s="69" t="s">
        <v>110</v>
      </c>
      <c r="C11" s="39">
        <v>4.9788793084545202E-2</v>
      </c>
      <c r="D11" s="39">
        <v>4.9788793084545202E-2</v>
      </c>
      <c r="E11" s="39">
        <v>5.5284452709501899E-2</v>
      </c>
      <c r="F11" s="39">
        <v>4.3006511088064803E-2</v>
      </c>
      <c r="G11" s="39">
        <v>2.1012943084603702E-2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0.69576059900000009</v>
      </c>
      <c r="D14" s="40">
        <v>0.66532394163700004</v>
      </c>
      <c r="E14" s="40">
        <v>0.66532394163700004</v>
      </c>
      <c r="F14" s="40">
        <v>0.35589304969399999</v>
      </c>
      <c r="G14" s="40">
        <v>0.35589304969399999</v>
      </c>
      <c r="H14" s="41">
        <v>0.52100000000000002</v>
      </c>
      <c r="I14" s="41">
        <v>0.52100000000000002</v>
      </c>
      <c r="J14" s="41">
        <v>0.52100000000000002</v>
      </c>
      <c r="K14" s="41">
        <v>0.52100000000000002</v>
      </c>
      <c r="L14" s="41">
        <v>0.42799999999999999</v>
      </c>
      <c r="M14" s="41">
        <v>0.42799999999999999</v>
      </c>
      <c r="N14" s="41">
        <v>0.42799999999999999</v>
      </c>
      <c r="O14" s="41">
        <v>0.42799999999999999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0.29864201766936904</v>
      </c>
      <c r="D15" s="99">
        <f t="shared" si="0"/>
        <v>0.28557766079279112</v>
      </c>
      <c r="E15" s="99">
        <f t="shared" si="0"/>
        <v>0.28557766079279112</v>
      </c>
      <c r="F15" s="99">
        <f t="shared" si="0"/>
        <v>0.15276032961320529</v>
      </c>
      <c r="G15" s="99">
        <f t="shared" si="0"/>
        <v>0.15276032961320529</v>
      </c>
      <c r="H15" s="99">
        <f t="shared" si="0"/>
        <v>0.223629351</v>
      </c>
      <c r="I15" s="99">
        <f t="shared" si="0"/>
        <v>0.223629351</v>
      </c>
      <c r="J15" s="99">
        <f t="shared" si="0"/>
        <v>0.223629351</v>
      </c>
      <c r="K15" s="99">
        <f t="shared" si="0"/>
        <v>0.223629351</v>
      </c>
      <c r="L15" s="99">
        <f t="shared" si="0"/>
        <v>0.18371086799999997</v>
      </c>
      <c r="M15" s="99">
        <f t="shared" si="0"/>
        <v>0.18371086799999997</v>
      </c>
      <c r="N15" s="99">
        <f t="shared" si="0"/>
        <v>0.18371086799999997</v>
      </c>
      <c r="O15" s="99">
        <f t="shared" si="0"/>
        <v>0.18371086799999997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0.45592287297741801</v>
      </c>
      <c r="D2" s="39">
        <v>0.280937540715686</v>
      </c>
      <c r="E2" s="39"/>
      <c r="F2" s="39"/>
      <c r="G2" s="39"/>
    </row>
    <row r="3" spans="1:7" x14ac:dyDescent="0.25">
      <c r="B3" s="78" t="s">
        <v>120</v>
      </c>
      <c r="C3" s="39">
        <v>0.39208534616123702</v>
      </c>
      <c r="D3" s="39">
        <v>0.41964019980392198</v>
      </c>
      <c r="E3" s="39"/>
      <c r="F3" s="39"/>
      <c r="G3" s="39"/>
    </row>
    <row r="4" spans="1:7" x14ac:dyDescent="0.25">
      <c r="B4" s="78" t="s">
        <v>121</v>
      </c>
      <c r="C4" s="39">
        <v>0.119288975244239</v>
      </c>
      <c r="D4" s="39">
        <v>0.26842458431372501</v>
      </c>
      <c r="E4" s="39">
        <v>0.95333877377126397</v>
      </c>
      <c r="F4" s="39">
        <v>0.71441323901044895</v>
      </c>
      <c r="G4" s="39"/>
    </row>
    <row r="5" spans="1:7" x14ac:dyDescent="0.25">
      <c r="B5" s="78" t="s">
        <v>122</v>
      </c>
      <c r="C5" s="100">
        <v>3.2742075871431603E-2</v>
      </c>
      <c r="D5" s="100">
        <v>3.0851552402768E-2</v>
      </c>
      <c r="E5" s="100">
        <f>1-E2-E3-E4</f>
        <v>4.666122622873603E-2</v>
      </c>
      <c r="F5" s="100">
        <f>1-F2-F3-F4</f>
        <v>0.28558676098955105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0.51858755925</v>
      </c>
      <c r="C2" s="43">
        <v>0.95</v>
      </c>
      <c r="D2" s="86">
        <v>49.266516263145533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39.683720380903551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277.01994750756228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0.71839098168186444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0.16069834920000001</v>
      </c>
      <c r="C10" s="43">
        <v>0.95</v>
      </c>
      <c r="D10" s="86">
        <v>12.81601982469946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0.16069834920000001</v>
      </c>
      <c r="C11" s="43">
        <v>0.95</v>
      </c>
      <c r="D11" s="86">
        <v>12.81601982469946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0.16069834920000001</v>
      </c>
      <c r="C12" s="43">
        <v>0.95</v>
      </c>
      <c r="D12" s="86">
        <v>12.81601982469946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0.16069834920000001</v>
      </c>
      <c r="C13" s="43">
        <v>0.95</v>
      </c>
      <c r="D13" s="86">
        <v>12.81601982469946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0.16069834920000001</v>
      </c>
      <c r="C14" s="43">
        <v>0.95</v>
      </c>
      <c r="D14" s="86">
        <v>12.81601982469946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0.16069834920000001</v>
      </c>
      <c r="C15" s="43">
        <v>0.95</v>
      </c>
      <c r="D15" s="86">
        <v>12.81601982469946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0.51560582851631831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0.27600000000000002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0.3</v>
      </c>
      <c r="C18" s="43">
        <v>0.95</v>
      </c>
      <c r="D18" s="86">
        <v>6.4276517687842469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6.4276517687842469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0.67299999999999993</v>
      </c>
      <c r="C21" s="43">
        <v>0.95</v>
      </c>
      <c r="D21" s="86">
        <v>6.3700694345543054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22.013507436034541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4.1567379002909028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0.17012026699999999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0.12533467470000001</v>
      </c>
      <c r="C27" s="43">
        <v>0.95</v>
      </c>
      <c r="D27" s="86">
        <v>18.37373470672004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0.66312790021524293</v>
      </c>
      <c r="C29" s="43">
        <v>0.95</v>
      </c>
      <c r="D29" s="86">
        <v>93.648037947344875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0.27944402791567008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</v>
      </c>
      <c r="C32" s="43">
        <v>0.95</v>
      </c>
      <c r="D32" s="86">
        <v>1.1023285790628059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0.63700000000000001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0.09</v>
      </c>
      <c r="C38" s="43">
        <v>0.95</v>
      </c>
      <c r="D38" s="86">
        <v>4.1510025254524336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0.40781970143219798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0.19372297874347755</v>
      </c>
      <c r="C3" s="13">
        <f>frac_mam_1_5months * 2.6</f>
        <v>0.19372297874347755</v>
      </c>
      <c r="D3" s="13">
        <f>frac_mam_6_11months * 2.6</f>
        <v>0.27618170427677441</v>
      </c>
      <c r="E3" s="13">
        <f>frac_mam_12_23months * 2.6</f>
        <v>0.22045132160407122</v>
      </c>
      <c r="F3" s="13">
        <f>frac_mam_24_59months * 2.6</f>
        <v>0.12275080651566304</v>
      </c>
    </row>
    <row r="4" spans="1:6" ht="15.75" customHeight="1" x14ac:dyDescent="0.25">
      <c r="A4" s="78" t="s">
        <v>204</v>
      </c>
      <c r="B4" s="13">
        <f>frac_sam_1month * 2.6</f>
        <v>0.12945086201981754</v>
      </c>
      <c r="C4" s="13">
        <f>frac_sam_1_5months * 2.6</f>
        <v>0.12945086201981754</v>
      </c>
      <c r="D4" s="13">
        <f>frac_sam_6_11months * 2.6</f>
        <v>0.14373957704470494</v>
      </c>
      <c r="E4" s="13">
        <f>frac_sam_12_23months * 2.6</f>
        <v>0.11181692882896849</v>
      </c>
      <c r="F4" s="13">
        <f>frac_sam_24_59months * 2.6</f>
        <v>5.4633652019969628E-2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1.4999999999999999E-2</v>
      </c>
      <c r="E2" s="47">
        <f>food_insecure</f>
        <v>1.4999999999999999E-2</v>
      </c>
      <c r="F2" s="47">
        <f>food_insecure</f>
        <v>1.4999999999999999E-2</v>
      </c>
      <c r="G2" s="47">
        <f>food_insecure</f>
        <v>1.4999999999999999E-2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1.4999999999999999E-2</v>
      </c>
      <c r="F5" s="47">
        <f>food_insecure</f>
        <v>1.4999999999999999E-2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1.4999999999999999E-2</v>
      </c>
      <c r="F8" s="47">
        <f>food_insecure</f>
        <v>1.4999999999999999E-2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1.4999999999999999E-2</v>
      </c>
      <c r="F9" s="47">
        <f>food_insecure</f>
        <v>1.4999999999999999E-2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0.59599999999999997</v>
      </c>
      <c r="E10" s="47">
        <f>IF(ISBLANK(comm_deliv), frac_children_health_facility,1)</f>
        <v>0.59599999999999997</v>
      </c>
      <c r="F10" s="47">
        <f>IF(ISBLANK(comm_deliv), frac_children_health_facility,1)</f>
        <v>0.59599999999999997</v>
      </c>
      <c r="G10" s="47">
        <f>IF(ISBLANK(comm_deliv), frac_children_health_facility,1)</f>
        <v>0.59599999999999997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1.4999999999999999E-2</v>
      </c>
      <c r="I15" s="47">
        <f>food_insecure</f>
        <v>1.4999999999999999E-2</v>
      </c>
      <c r="J15" s="47">
        <f>food_insecure</f>
        <v>1.4999999999999999E-2</v>
      </c>
      <c r="K15" s="47">
        <f>food_insecure</f>
        <v>1.4999999999999999E-2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0.7609999999999999</v>
      </c>
      <c r="I18" s="47">
        <f>frac_PW_health_facility</f>
        <v>0.7609999999999999</v>
      </c>
      <c r="J18" s="47">
        <f>frac_PW_health_facility</f>
        <v>0.7609999999999999</v>
      </c>
      <c r="K18" s="47">
        <f>frac_PW_health_facility</f>
        <v>0.7609999999999999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0.97</v>
      </c>
      <c r="I19" s="47">
        <f>frac_malaria_risk</f>
        <v>0.97</v>
      </c>
      <c r="J19" s="47">
        <f>frac_malaria_risk</f>
        <v>0.97</v>
      </c>
      <c r="K19" s="47">
        <f>frac_malaria_risk</f>
        <v>0.97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0.19400000000000001</v>
      </c>
      <c r="M24" s="47">
        <f>famplan_unmet_need</f>
        <v>0.19400000000000001</v>
      </c>
      <c r="N24" s="47">
        <f>famplan_unmet_need</f>
        <v>0.19400000000000001</v>
      </c>
      <c r="O24" s="47">
        <f>famplan_unmet_need</f>
        <v>0.19400000000000001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0.28902545448875422</v>
      </c>
      <c r="M25" s="47">
        <f>(1-food_insecure)*(0.49)+food_insecure*(0.7)</f>
        <v>0.49314999999999998</v>
      </c>
      <c r="N25" s="47">
        <f>(1-food_insecure)*(0.49)+food_insecure*(0.7)</f>
        <v>0.49314999999999998</v>
      </c>
      <c r="O25" s="47">
        <f>(1-food_insecure)*(0.49)+food_insecure*(0.7)</f>
        <v>0.49314999999999998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0.12386805192375179</v>
      </c>
      <c r="M26" s="47">
        <f>(1-food_insecure)*(0.21)+food_insecure*(0.3)</f>
        <v>0.21134999999999998</v>
      </c>
      <c r="N26" s="47">
        <f>(1-food_insecure)*(0.21)+food_insecure*(0.3)</f>
        <v>0.21134999999999998</v>
      </c>
      <c r="O26" s="47">
        <f>(1-food_insecure)*(0.21)+food_insecure*(0.3)</f>
        <v>0.21134999999999998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0.17318670141220088</v>
      </c>
      <c r="M27" s="47">
        <f>(1-food_insecure)*(0.3)</f>
        <v>0.29549999999999998</v>
      </c>
      <c r="N27" s="47">
        <f>(1-food_insecure)*(0.3)</f>
        <v>0.29549999999999998</v>
      </c>
      <c r="O27" s="47">
        <f>(1-food_insecure)*(0.3)</f>
        <v>0.29549999999999998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0.41391979217529301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0.97</v>
      </c>
      <c r="D34" s="47">
        <f t="shared" si="3"/>
        <v>0.97</v>
      </c>
      <c r="E34" s="47">
        <f t="shared" si="3"/>
        <v>0.97</v>
      </c>
      <c r="F34" s="47">
        <f t="shared" si="3"/>
        <v>0.97</v>
      </c>
      <c r="G34" s="47">
        <f t="shared" si="3"/>
        <v>0.97</v>
      </c>
      <c r="H34" s="47">
        <f t="shared" si="3"/>
        <v>0.97</v>
      </c>
      <c r="I34" s="47">
        <f t="shared" si="3"/>
        <v>0.97</v>
      </c>
      <c r="J34" s="47">
        <f t="shared" si="3"/>
        <v>0.97</v>
      </c>
      <c r="K34" s="47">
        <f t="shared" si="3"/>
        <v>0.97</v>
      </c>
      <c r="L34" s="47">
        <f t="shared" si="3"/>
        <v>0.97</v>
      </c>
      <c r="M34" s="47">
        <f t="shared" si="3"/>
        <v>0.97</v>
      </c>
      <c r="N34" s="47">
        <f t="shared" si="3"/>
        <v>0.97</v>
      </c>
      <c r="O34" s="47">
        <f t="shared" si="3"/>
        <v>0.97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2023-01-25T00:09:03Z</dcterms:modified>
</cp:coreProperties>
</file>