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90B11348-A159-4243-B7FC-24672B65DC19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6" i="2"/>
  <c r="A35" i="2"/>
  <c r="A27" i="2"/>
  <c r="A19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" i="2" s="1"/>
  <c r="C33" i="1"/>
  <c r="C20" i="1"/>
  <c r="A4" i="2" l="1"/>
  <c r="A12" i="2"/>
  <c r="A5" i="2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20" i="2"/>
  <c r="A18" i="2"/>
  <c r="A26" i="2"/>
  <c r="A34" i="2"/>
  <c r="A39" i="2"/>
  <c r="A13" i="2"/>
  <c r="A21" i="2"/>
  <c r="A29" i="2"/>
  <c r="A37" i="2"/>
  <c r="A40" i="2"/>
  <c r="D58" i="20"/>
  <c r="A28" i="2"/>
  <c r="A14" i="2"/>
  <c r="A22" i="2"/>
  <c r="A30" i="2"/>
  <c r="A38" i="2"/>
  <c r="A15" i="2"/>
  <c r="A23" i="2"/>
  <c r="A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<sst xmlns="http://schemas.openxmlformats.org/spreadsheetml/2006/main" count="2092" uniqueCount="337">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</sst>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23731997.5</v>
      </c>
    </row>
    <row r="8" spans="1:3" ht="15" customHeight="1" x14ac:dyDescent="0.25">
      <c r="B8" s="59" t="s">
        <v>8</v>
      </c>
      <c r="C8" s="27">
        <v>4.5999999999999999E-2</v>
      </c>
    </row>
    <row r="9" spans="1:3" ht="15" customHeight="1" x14ac:dyDescent="0.25">
      <c r="B9" s="59" t="s">
        <v>9</v>
      </c>
      <c r="C9" s="28">
        <v>0.10879999999999999</v>
      </c>
    </row>
    <row r="10" spans="1:3" ht="15" customHeight="1" x14ac:dyDescent="0.25">
      <c r="B10" s="59" t="s">
        <v>10</v>
      </c>
      <c r="C10" s="28">
        <v>0.85338409423828099</v>
      </c>
    </row>
    <row r="11" spans="1:3" ht="15" customHeight="1" x14ac:dyDescent="0.25">
      <c r="B11" s="59" t="s">
        <v>11</v>
      </c>
      <c r="C11" s="27">
        <v>0.62</v>
      </c>
    </row>
    <row r="12" spans="1:3" ht="15" customHeight="1" x14ac:dyDescent="0.25">
      <c r="B12" s="59" t="s">
        <v>12</v>
      </c>
      <c r="C12" s="27">
        <v>0.72</v>
      </c>
    </row>
    <row r="13" spans="1:3" ht="15" customHeight="1" x14ac:dyDescent="0.25">
      <c r="B13" s="59" t="s">
        <v>13</v>
      </c>
      <c r="C13" s="27">
        <v>0.314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7.8600000000000003E-2</v>
      </c>
    </row>
    <row r="24" spans="1:3" ht="15" customHeight="1" x14ac:dyDescent="0.25">
      <c r="B24" s="6" t="s">
        <v>22</v>
      </c>
      <c r="C24" s="28">
        <v>0.51929999999999998</v>
      </c>
    </row>
    <row r="25" spans="1:3" ht="15" customHeight="1" x14ac:dyDescent="0.25">
      <c r="B25" s="6" t="s">
        <v>23</v>
      </c>
      <c r="C25" s="28">
        <v>0.37880000000000003</v>
      </c>
    </row>
    <row r="26" spans="1:3" ht="15" customHeight="1" x14ac:dyDescent="0.25">
      <c r="B26" s="6" t="s">
        <v>24</v>
      </c>
      <c r="C26" s="28">
        <v>2.3300000000000001E-2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0.38928322520389302</v>
      </c>
    </row>
    <row r="30" spans="1:3" ht="14.25" customHeight="1" x14ac:dyDescent="0.25">
      <c r="B30" s="11" t="s">
        <v>27</v>
      </c>
      <c r="C30" s="90">
        <v>2.6742253790267401E-2</v>
      </c>
    </row>
    <row r="31" spans="1:3" ht="14.25" customHeight="1" x14ac:dyDescent="0.25">
      <c r="B31" s="11" t="s">
        <v>28</v>
      </c>
      <c r="C31" s="90">
        <v>3.70902046003709E-2</v>
      </c>
    </row>
    <row r="32" spans="1:3" ht="14.25" customHeight="1" x14ac:dyDescent="0.25">
      <c r="B32" s="11" t="s">
        <v>29</v>
      </c>
      <c r="C32" s="90">
        <v>0.54688431640546897</v>
      </c>
    </row>
    <row r="33" spans="1:5" ht="13.15" customHeight="1" x14ac:dyDescent="0.25">
      <c r="B33" s="12" t="s">
        <v>30</v>
      </c>
      <c r="C33" s="30">
        <f>SUM(C29:C32)</f>
        <v>1.0000000000000002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12.4124663278865</v>
      </c>
    </row>
    <row r="38" spans="1:5" ht="15" customHeight="1" x14ac:dyDescent="0.25">
      <c r="B38" s="55" t="s">
        <v>34</v>
      </c>
      <c r="C38" s="84">
        <v>20.241942482511998</v>
      </c>
      <c r="D38" s="91"/>
      <c r="E38" s="92"/>
    </row>
    <row r="39" spans="1:5" ht="15" customHeight="1" x14ac:dyDescent="0.25">
      <c r="B39" s="55" t="s">
        <v>35</v>
      </c>
      <c r="C39" s="84">
        <v>23.881256222112398</v>
      </c>
      <c r="D39" s="91"/>
      <c r="E39" s="91"/>
    </row>
    <row r="40" spans="1:5" ht="15" customHeight="1" x14ac:dyDescent="0.25">
      <c r="B40" s="55" t="s">
        <v>36</v>
      </c>
      <c r="C40" s="84">
        <v>1.77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9.4617257370000001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3.4460699999999997E-2</v>
      </c>
      <c r="D45" s="91"/>
    </row>
    <row r="46" spans="1:5" ht="15.75" customHeight="1" x14ac:dyDescent="0.25">
      <c r="B46" s="55" t="s">
        <v>41</v>
      </c>
      <c r="C46" s="28">
        <v>0.12010750000000001</v>
      </c>
      <c r="D46" s="91"/>
    </row>
    <row r="47" spans="1:5" ht="15.75" customHeight="1" x14ac:dyDescent="0.25">
      <c r="B47" s="55" t="s">
        <v>42</v>
      </c>
      <c r="C47" s="28">
        <v>0.20394960000000001</v>
      </c>
      <c r="D47" s="91"/>
      <c r="E47" s="92"/>
    </row>
    <row r="48" spans="1:5" ht="15" customHeight="1" x14ac:dyDescent="0.25">
      <c r="B48" s="55" t="s">
        <v>43</v>
      </c>
      <c r="C48" s="29">
        <v>0.6414822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2.4</v>
      </c>
      <c r="D51" s="91"/>
    </row>
    <row r="52" spans="1:4" ht="15" customHeight="1" x14ac:dyDescent="0.25">
      <c r="B52" s="55" t="s">
        <v>46</v>
      </c>
      <c r="C52" s="31">
        <v>2.4</v>
      </c>
    </row>
    <row r="53" spans="1:4" ht="15.75" customHeight="1" x14ac:dyDescent="0.25">
      <c r="B53" s="55" t="s">
        <v>47</v>
      </c>
      <c r="C53" s="31">
        <v>2.4</v>
      </c>
    </row>
    <row r="54" spans="1:4" ht="15.75" customHeight="1" x14ac:dyDescent="0.25">
      <c r="B54" s="55" t="s">
        <v>48</v>
      </c>
      <c r="C54" s="31">
        <v>2.4</v>
      </c>
    </row>
    <row r="55" spans="1:4" ht="15.75" customHeight="1" x14ac:dyDescent="0.25">
      <c r="B55" s="55" t="s">
        <v>49</v>
      </c>
      <c r="C55" s="31">
        <v>2.4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2.1666666666666671E-2</v>
      </c>
    </row>
    <row r="59" spans="1:4" ht="15.75" customHeight="1" x14ac:dyDescent="0.25">
      <c r="B59" s="55" t="s">
        <v>52</v>
      </c>
      <c r="C59" s="27">
        <v>0.58243899999999993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0.21650946237348001</v>
      </c>
      <c r="C2" s="82">
        <v>0.95</v>
      </c>
      <c r="D2" s="83">
        <v>64.886871461123533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40.033831858193757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521.91094080463984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1.602565211069062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13.166131301989671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13.166131301989671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13.166131301989671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13.166131301989671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13.166131301989671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13.166131301989671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2.5217300000000002E-2</v>
      </c>
      <c r="C16" s="82">
        <v>0.95</v>
      </c>
      <c r="D16" s="83">
        <v>0.87289710188501968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0.17784249999999999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0.53925319999999999</v>
      </c>
      <c r="C18" s="82">
        <v>0.95</v>
      </c>
      <c r="D18" s="83">
        <v>11.99955936520508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0.53925319999999999</v>
      </c>
      <c r="C19" s="82">
        <v>0.95</v>
      </c>
      <c r="D19" s="83">
        <v>11.99955936520508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0.79391029999999996</v>
      </c>
      <c r="C21" s="82">
        <v>0.95</v>
      </c>
      <c r="D21" s="83">
        <v>14.37005331994601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22.801258259937519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4.3755575735972823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0.59409903508702999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0.44054339999999997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18.728188384897141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0.37310910000000003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0.62</v>
      </c>
      <c r="C29" s="82">
        <v>0.95</v>
      </c>
      <c r="D29" s="83">
        <v>129.29915294669931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1.2142779657827909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1.8900764232524481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0.45606075289999998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3.0629E-2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0.18282266236670699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0.642036185754851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3.1240782385195991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0.73128387374660209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2.4</v>
      </c>
      <c r="C2" s="103">
        <f>'Donnees pop de l''annee de ref'!C52</f>
        <v>2.4</v>
      </c>
      <c r="D2" s="103">
        <f>'Donnees pop de l''annee de ref'!C53</f>
        <v>2.4</v>
      </c>
      <c r="E2" s="103">
        <f>'Donnees pop de l''annee de ref'!C54</f>
        <v>2.4</v>
      </c>
      <c r="F2" s="103">
        <f>'Donnees pop de l''annee de ref'!C55</f>
        <v>2.4</v>
      </c>
    </row>
    <row r="3" spans="1:6" ht="15.75" customHeight="1" x14ac:dyDescent="0.25">
      <c r="A3" s="67" t="s">
        <v>203</v>
      </c>
      <c r="B3" s="103">
        <f>frac_mam_1month * 2.6</f>
        <v>0.21687307823148139</v>
      </c>
      <c r="C3" s="103">
        <f>frac_mam_1_5months * 2.6</f>
        <v>0.21687307823148139</v>
      </c>
      <c r="D3" s="103">
        <f>frac_mam_6_11months * 2.6</f>
        <v>0.22747089326963613</v>
      </c>
      <c r="E3" s="103">
        <f>frac_mam_12_23months * 2.6</f>
        <v>0.22028677790591786</v>
      </c>
      <c r="F3" s="103">
        <f>frac_mam_24_59months * 2.6</f>
        <v>0.16292941521529739</v>
      </c>
    </row>
    <row r="4" spans="1:6" ht="15.75" customHeight="1" x14ac:dyDescent="0.25">
      <c r="A4" s="67" t="s">
        <v>204</v>
      </c>
      <c r="B4" s="103">
        <f>frac_sam_1month * 2.6</f>
        <v>0.13623622441047503</v>
      </c>
      <c r="C4" s="103">
        <f>frac_sam_1_5months * 2.6</f>
        <v>0.13623622441047503</v>
      </c>
      <c r="D4" s="103">
        <f>frac_sam_6_11months * 2.6</f>
        <v>0.10579411827841896</v>
      </c>
      <c r="E4" s="103">
        <f>frac_sam_12_23months * 2.6</f>
        <v>8.8618239852306074E-2</v>
      </c>
      <c r="F4" s="103">
        <f>frac_sam_24_59months * 2.6</f>
        <v>5.485610173655768E-2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4.5999999999999999E-2</v>
      </c>
      <c r="E2" s="37">
        <f>food_insecure</f>
        <v>4.5999999999999999E-2</v>
      </c>
      <c r="F2" s="37">
        <f>food_insecure</f>
        <v>4.5999999999999999E-2</v>
      </c>
      <c r="G2" s="37">
        <f>food_insecure</f>
        <v>4.5999999999999999E-2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4.5999999999999999E-2</v>
      </c>
      <c r="F5" s="37">
        <f>food_insecure</f>
        <v>4.5999999999999999E-2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5.2000000000000011E-2</v>
      </c>
      <c r="D7" s="37">
        <f>diarrhoea_1_5mo*frac_diarrhea_severe</f>
        <v>5.2000000000000011E-2</v>
      </c>
      <c r="E7" s="37">
        <f>diarrhoea_6_11mo*frac_diarrhea_severe</f>
        <v>5.2000000000000011E-2</v>
      </c>
      <c r="F7" s="37">
        <f>diarrhoea_12_23mo*frac_diarrhea_severe</f>
        <v>5.2000000000000011E-2</v>
      </c>
      <c r="G7" s="37">
        <f>diarrhoea_24_59mo*frac_diarrhea_severe</f>
        <v>5.2000000000000011E-2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4.5999999999999999E-2</v>
      </c>
      <c r="F8" s="37">
        <f>food_insecure</f>
        <v>4.5999999999999999E-2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4.5999999999999999E-2</v>
      </c>
      <c r="F9" s="37">
        <f>food_insecure</f>
        <v>4.5999999999999999E-2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0.72</v>
      </c>
      <c r="E10" s="37">
        <f>IF(ISBLANK(comm_deliv), frac_children_health_facility,1)</f>
        <v>0.72</v>
      </c>
      <c r="F10" s="37">
        <f>IF(ISBLANK(comm_deliv), frac_children_health_facility,1)</f>
        <v>0.72</v>
      </c>
      <c r="G10" s="37">
        <f>IF(ISBLANK(comm_deliv), frac_children_health_facility,1)</f>
        <v>0.72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5.2000000000000011E-2</v>
      </c>
      <c r="D12" s="37">
        <f>diarrhoea_1_5mo*frac_diarrhea_severe</f>
        <v>5.2000000000000011E-2</v>
      </c>
      <c r="E12" s="37">
        <f>diarrhoea_6_11mo*frac_diarrhea_severe</f>
        <v>5.2000000000000011E-2</v>
      </c>
      <c r="F12" s="37">
        <f>diarrhoea_12_23mo*frac_diarrhea_severe</f>
        <v>5.2000000000000011E-2</v>
      </c>
      <c r="G12" s="37">
        <f>diarrhoea_24_59mo*frac_diarrhea_severe</f>
        <v>5.2000000000000011E-2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4.5999999999999999E-2</v>
      </c>
      <c r="I15" s="37">
        <f>food_insecure</f>
        <v>4.5999999999999999E-2</v>
      </c>
      <c r="J15" s="37">
        <f>food_insecure</f>
        <v>4.5999999999999999E-2</v>
      </c>
      <c r="K15" s="37">
        <f>food_insecure</f>
        <v>4.5999999999999999E-2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0.62</v>
      </c>
      <c r="I18" s="37">
        <f>frac_PW_health_facility</f>
        <v>0.62</v>
      </c>
      <c r="J18" s="37">
        <f>frac_PW_health_facility</f>
        <v>0.62</v>
      </c>
      <c r="K18" s="37">
        <f>frac_PW_health_facility</f>
        <v>0.62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0.10879999999999999</v>
      </c>
      <c r="I19" s="37">
        <f>frac_malaria_risk</f>
        <v>0.10879999999999999</v>
      </c>
      <c r="J19" s="37">
        <f>frac_malaria_risk</f>
        <v>0.10879999999999999</v>
      </c>
      <c r="K19" s="37">
        <f>frac_malaria_risk</f>
        <v>0.10879999999999999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0.314</v>
      </c>
      <c r="M24" s="37">
        <f>famplan_unmet_need</f>
        <v>0.314</v>
      </c>
      <c r="N24" s="37">
        <f>famplan_unmet_need</f>
        <v>0.314</v>
      </c>
      <c r="O24" s="37">
        <f>famplan_unmet_need</f>
        <v>0.314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7.3258103472900529E-2</v>
      </c>
      <c r="M25" s="37">
        <f>(1-food_insecure)*(0.49)+food_insecure*(0.7)</f>
        <v>0.49965999999999999</v>
      </c>
      <c r="N25" s="37">
        <f>(1-food_insecure)*(0.49)+food_insecure*(0.7)</f>
        <v>0.49965999999999999</v>
      </c>
      <c r="O25" s="37">
        <f>(1-food_insecure)*(0.49)+food_insecure*(0.7)</f>
        <v>0.49965999999999999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3.1396330059814508E-2</v>
      </c>
      <c r="M26" s="37">
        <f>(1-food_insecure)*(0.21)+food_insecure*(0.3)</f>
        <v>0.21414</v>
      </c>
      <c r="N26" s="37">
        <f>(1-food_insecure)*(0.21)+food_insecure*(0.3)</f>
        <v>0.21414</v>
      </c>
      <c r="O26" s="37">
        <f>(1-food_insecure)*(0.21)+food_insecure*(0.3)</f>
        <v>0.21414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4.1961472229003975E-2</v>
      </c>
      <c r="M27" s="37">
        <f>(1-food_insecure)*(0.3)</f>
        <v>0.28619999999999995</v>
      </c>
      <c r="N27" s="37">
        <f>(1-food_insecure)*(0.3)</f>
        <v>0.28619999999999995</v>
      </c>
      <c r="O27" s="37">
        <f>(1-food_insecure)*(0.3)</f>
        <v>0.28619999999999995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0.85338409423828099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0.10879999999999999</v>
      </c>
      <c r="D34" s="37">
        <f t="shared" si="3"/>
        <v>0.10879999999999999</v>
      </c>
      <c r="E34" s="37">
        <f t="shared" si="3"/>
        <v>0.10879999999999999</v>
      </c>
      <c r="F34" s="37">
        <f t="shared" si="3"/>
        <v>0.10879999999999999</v>
      </c>
      <c r="G34" s="37">
        <f t="shared" si="3"/>
        <v>0.10879999999999999</v>
      </c>
      <c r="H34" s="37">
        <f t="shared" si="3"/>
        <v>0.10879999999999999</v>
      </c>
      <c r="I34" s="37">
        <f t="shared" si="3"/>
        <v>0.10879999999999999</v>
      </c>
      <c r="J34" s="37">
        <f t="shared" si="3"/>
        <v>0.10879999999999999</v>
      </c>
      <c r="K34" s="37">
        <f t="shared" si="3"/>
        <v>0.10879999999999999</v>
      </c>
      <c r="L34" s="37">
        <f t="shared" si="3"/>
        <v>0.10879999999999999</v>
      </c>
      <c r="M34" s="37">
        <f t="shared" si="3"/>
        <v>0.10879999999999999</v>
      </c>
      <c r="N34" s="37">
        <f t="shared" si="3"/>
        <v>0.10879999999999999</v>
      </c>
      <c r="O34" s="37">
        <f t="shared" si="3"/>
        <v>0.10879999999999999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1130452.2487999999</v>
      </c>
      <c r="C2" s="93">
        <v>2691000</v>
      </c>
      <c r="D2" s="93">
        <v>5736000</v>
      </c>
      <c r="E2" s="93">
        <v>9436000</v>
      </c>
      <c r="F2" s="93">
        <v>6236000</v>
      </c>
      <c r="G2" s="94">
        <f t="shared" ref="G2:G11" si="0">C2+D2+E2+F2</f>
        <v>24099000</v>
      </c>
      <c r="H2" s="94">
        <f t="shared" ref="H2:H11" si="1">(B2 + stillbirth*B2/(1000-stillbirth))/(1-abortion)</f>
        <v>1296875.5085588342</v>
      </c>
      <c r="I2" s="94">
        <f t="shared" ref="I2:I11" si="2">G2-H2</f>
        <v>22802124.491441164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1092375.6244000001</v>
      </c>
      <c r="C3" s="93">
        <v>2805000</v>
      </c>
      <c r="D3" s="93">
        <v>5480000</v>
      </c>
      <c r="E3" s="93">
        <v>9239000</v>
      </c>
      <c r="F3" s="93">
        <v>6723000</v>
      </c>
      <c r="G3" s="94">
        <f t="shared" si="0"/>
        <v>24247000</v>
      </c>
      <c r="H3" s="94">
        <f t="shared" si="1"/>
        <v>1253193.3081957742</v>
      </c>
      <c r="I3" s="94">
        <f t="shared" si="2"/>
        <v>22993806.691804226</v>
      </c>
    </row>
    <row r="4" spans="1:9" ht="15.75" customHeight="1" x14ac:dyDescent="0.25">
      <c r="A4" s="59">
        <f t="shared" si="3"/>
        <v>2023</v>
      </c>
      <c r="B4" s="32">
        <v>1052973.5782000001</v>
      </c>
      <c r="C4" s="93">
        <v>2929000</v>
      </c>
      <c r="D4" s="93">
        <v>5294000</v>
      </c>
      <c r="E4" s="93">
        <v>8941000</v>
      </c>
      <c r="F4" s="93">
        <v>7232000</v>
      </c>
      <c r="G4" s="94">
        <f t="shared" si="0"/>
        <v>24396000</v>
      </c>
      <c r="H4" s="94">
        <f t="shared" si="1"/>
        <v>1207990.5596868237</v>
      </c>
      <c r="I4" s="94">
        <f t="shared" si="2"/>
        <v>23188009.440313175</v>
      </c>
    </row>
    <row r="5" spans="1:9" ht="15.75" customHeight="1" x14ac:dyDescent="0.25">
      <c r="A5" s="59">
        <f t="shared" si="3"/>
        <v>2024</v>
      </c>
      <c r="B5" s="32">
        <v>1012347.7714</v>
      </c>
      <c r="C5" s="93">
        <v>3049000</v>
      </c>
      <c r="D5" s="93">
        <v>5176000</v>
      </c>
      <c r="E5" s="93">
        <v>8576000</v>
      </c>
      <c r="F5" s="93">
        <v>7725000</v>
      </c>
      <c r="G5" s="94">
        <f t="shared" si="0"/>
        <v>24526000</v>
      </c>
      <c r="H5" s="94">
        <f t="shared" si="1"/>
        <v>1161383.8906211546</v>
      </c>
      <c r="I5" s="94">
        <f t="shared" si="2"/>
        <v>23364616.109378844</v>
      </c>
    </row>
    <row r="6" spans="1:9" ht="15.75" customHeight="1" x14ac:dyDescent="0.25">
      <c r="A6" s="59">
        <f t="shared" si="3"/>
        <v>2025</v>
      </c>
      <c r="B6" s="32">
        <v>970595.43000000017</v>
      </c>
      <c r="C6" s="93">
        <v>3153000</v>
      </c>
      <c r="D6" s="93">
        <v>5124000</v>
      </c>
      <c r="E6" s="93">
        <v>8173000</v>
      </c>
      <c r="F6" s="93">
        <v>8170000</v>
      </c>
      <c r="G6" s="94">
        <f t="shared" si="0"/>
        <v>24620000</v>
      </c>
      <c r="H6" s="94">
        <f t="shared" si="1"/>
        <v>1113484.8404453285</v>
      </c>
      <c r="I6" s="94">
        <f t="shared" si="2"/>
        <v>23506515.159554671</v>
      </c>
    </row>
    <row r="7" spans="1:9" ht="15.75" customHeight="1" x14ac:dyDescent="0.25">
      <c r="A7" s="59">
        <f t="shared" si="3"/>
        <v>2026</v>
      </c>
      <c r="B7" s="32">
        <v>952507.92</v>
      </c>
      <c r="C7" s="93">
        <v>3239000</v>
      </c>
      <c r="D7" s="93">
        <v>5141000</v>
      </c>
      <c r="E7" s="93">
        <v>7737000</v>
      </c>
      <c r="F7" s="93">
        <v>8568000</v>
      </c>
      <c r="G7" s="94">
        <f t="shared" si="0"/>
        <v>24685000</v>
      </c>
      <c r="H7" s="94">
        <f t="shared" si="1"/>
        <v>1092734.5179485457</v>
      </c>
      <c r="I7" s="94">
        <f t="shared" si="2"/>
        <v>23592265.482051454</v>
      </c>
    </row>
    <row r="8" spans="1:9" ht="15.75" customHeight="1" x14ac:dyDescent="0.25">
      <c r="A8" s="59">
        <f t="shared" si="3"/>
        <v>2027</v>
      </c>
      <c r="B8" s="32">
        <v>933714.96899999992</v>
      </c>
      <c r="C8" s="93">
        <v>3304000</v>
      </c>
      <c r="D8" s="93">
        <v>5224000</v>
      </c>
      <c r="E8" s="93">
        <v>7269000</v>
      </c>
      <c r="F8" s="93">
        <v>8915000</v>
      </c>
      <c r="G8" s="94">
        <f t="shared" si="0"/>
        <v>24712000</v>
      </c>
      <c r="H8" s="94">
        <f t="shared" si="1"/>
        <v>1071174.9006260822</v>
      </c>
      <c r="I8" s="94">
        <f t="shared" si="2"/>
        <v>23640825.099373918</v>
      </c>
    </row>
    <row r="9" spans="1:9" ht="15.75" customHeight="1" x14ac:dyDescent="0.25">
      <c r="A9" s="59">
        <f t="shared" si="3"/>
        <v>2028</v>
      </c>
      <c r="B9" s="32">
        <v>914312.17799999984</v>
      </c>
      <c r="C9" s="93">
        <v>3347000</v>
      </c>
      <c r="D9" s="93">
        <v>5358000</v>
      </c>
      <c r="E9" s="93">
        <v>6795000</v>
      </c>
      <c r="F9" s="93">
        <v>9189000</v>
      </c>
      <c r="G9" s="94">
        <f t="shared" si="0"/>
        <v>24689000</v>
      </c>
      <c r="H9" s="94">
        <f t="shared" si="1"/>
        <v>1048915.6636947594</v>
      </c>
      <c r="I9" s="94">
        <f t="shared" si="2"/>
        <v>23640084.336305242</v>
      </c>
    </row>
    <row r="10" spans="1:9" ht="15.75" customHeight="1" x14ac:dyDescent="0.25">
      <c r="A10" s="59">
        <f t="shared" si="3"/>
        <v>2029</v>
      </c>
      <c r="B10" s="32">
        <v>894398.75099999981</v>
      </c>
      <c r="C10" s="93">
        <v>3367000</v>
      </c>
      <c r="D10" s="93">
        <v>5519000</v>
      </c>
      <c r="E10" s="93">
        <v>6353000</v>
      </c>
      <c r="F10" s="93">
        <v>9359000</v>
      </c>
      <c r="G10" s="94">
        <f t="shared" si="0"/>
        <v>24598000</v>
      </c>
      <c r="H10" s="94">
        <f t="shared" si="1"/>
        <v>1026070.6157989386</v>
      </c>
      <c r="I10" s="94">
        <f t="shared" si="2"/>
        <v>23571929.384201061</v>
      </c>
    </row>
    <row r="11" spans="1:9" ht="15.75" customHeight="1" x14ac:dyDescent="0.25">
      <c r="A11" s="59">
        <f t="shared" si="3"/>
        <v>2030</v>
      </c>
      <c r="B11" s="32">
        <v>874056.46799999999</v>
      </c>
      <c r="C11" s="93">
        <v>3363000</v>
      </c>
      <c r="D11" s="93">
        <v>5687000</v>
      </c>
      <c r="E11" s="93">
        <v>5968000</v>
      </c>
      <c r="F11" s="93">
        <v>9404000</v>
      </c>
      <c r="G11" s="94">
        <f t="shared" si="0"/>
        <v>24422000</v>
      </c>
      <c r="H11" s="94">
        <f t="shared" si="1"/>
        <v>1002733.5764512996</v>
      </c>
      <c r="I11" s="94">
        <f t="shared" si="2"/>
        <v>23419266.423548702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3.3993673856831321E-3</v>
      </c>
    </row>
    <row r="4" spans="1:8" ht="15.75" customHeight="1" x14ac:dyDescent="0.25">
      <c r="B4" s="9" t="s">
        <v>69</v>
      </c>
      <c r="C4" s="33">
        <v>0.1133671230521331</v>
      </c>
    </row>
    <row r="5" spans="1:8" ht="15.75" customHeight="1" x14ac:dyDescent="0.25">
      <c r="B5" s="9" t="s">
        <v>70</v>
      </c>
      <c r="C5" s="33">
        <v>5.5127019872052728E-2</v>
      </c>
    </row>
    <row r="6" spans="1:8" ht="15.75" customHeight="1" x14ac:dyDescent="0.25">
      <c r="B6" s="9" t="s">
        <v>71</v>
      </c>
      <c r="C6" s="33">
        <v>0.22698598485951441</v>
      </c>
    </row>
    <row r="7" spans="1:8" ht="15.75" customHeight="1" x14ac:dyDescent="0.25">
      <c r="B7" s="9" t="s">
        <v>72</v>
      </c>
      <c r="C7" s="33">
        <v>0.34675162935112469</v>
      </c>
    </row>
    <row r="8" spans="1:8" ht="15.75" customHeight="1" x14ac:dyDescent="0.25">
      <c r="B8" s="9" t="s">
        <v>73</v>
      </c>
      <c r="C8" s="33">
        <v>3.1147536547219438E-3</v>
      </c>
    </row>
    <row r="9" spans="1:8" ht="15.75" customHeight="1" x14ac:dyDescent="0.25">
      <c r="B9" s="9" t="s">
        <v>74</v>
      </c>
      <c r="C9" s="33">
        <v>0.1754860582875698</v>
      </c>
    </row>
    <row r="10" spans="1:8" ht="15.75" customHeight="1" x14ac:dyDescent="0.25">
      <c r="B10" s="9" t="s">
        <v>75</v>
      </c>
      <c r="C10" s="33">
        <v>7.5768063537200239E-2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0.121482429817374</v>
      </c>
      <c r="D14" s="33">
        <v>0.121482429817374</v>
      </c>
      <c r="E14" s="33">
        <v>0.121482429817374</v>
      </c>
      <c r="F14" s="33">
        <v>0.121482429817374</v>
      </c>
    </row>
    <row r="15" spans="1:8" ht="15.75" customHeight="1" x14ac:dyDescent="0.25">
      <c r="B15" s="9" t="s">
        <v>82</v>
      </c>
      <c r="C15" s="33">
        <v>0.26120227375458088</v>
      </c>
      <c r="D15" s="33">
        <v>0.26120227375458088</v>
      </c>
      <c r="E15" s="33">
        <v>0.26120227375458088</v>
      </c>
      <c r="F15" s="33">
        <v>0.26120227375458088</v>
      </c>
    </row>
    <row r="16" spans="1:8" ht="15.75" customHeight="1" x14ac:dyDescent="0.25">
      <c r="B16" s="9" t="s">
        <v>83</v>
      </c>
      <c r="C16" s="33">
        <v>2.4493467062550379E-2</v>
      </c>
      <c r="D16" s="33">
        <v>2.4493467062550379E-2</v>
      </c>
      <c r="E16" s="33">
        <v>2.4493467062550379E-2</v>
      </c>
      <c r="F16" s="33">
        <v>2.4493467062550379E-2</v>
      </c>
    </row>
    <row r="17" spans="1:8" ht="15.75" customHeight="1" x14ac:dyDescent="0.25">
      <c r="B17" s="9" t="s">
        <v>84</v>
      </c>
      <c r="C17" s="33">
        <v>6.6661408493302696E-2</v>
      </c>
      <c r="D17" s="33">
        <v>6.6661408493302696E-2</v>
      </c>
      <c r="E17" s="33">
        <v>6.6661408493302696E-2</v>
      </c>
      <c r="F17" s="33">
        <v>6.6661408493302696E-2</v>
      </c>
    </row>
    <row r="18" spans="1:8" ht="15.75" customHeight="1" x14ac:dyDescent="0.25">
      <c r="B18" s="9" t="s">
        <v>85</v>
      </c>
      <c r="C18" s="33">
        <v>3.3693652749274081E-3</v>
      </c>
      <c r="D18" s="33">
        <v>3.3693652749274081E-3</v>
      </c>
      <c r="E18" s="33">
        <v>3.3693652749274081E-3</v>
      </c>
      <c r="F18" s="33">
        <v>3.3693652749274081E-3</v>
      </c>
    </row>
    <row r="19" spans="1:8" ht="15.75" customHeight="1" x14ac:dyDescent="0.25">
      <c r="B19" s="9" t="s">
        <v>86</v>
      </c>
      <c r="C19" s="33">
        <v>1.7165877903637959E-2</v>
      </c>
      <c r="D19" s="33">
        <v>1.7165877903637959E-2</v>
      </c>
      <c r="E19" s="33">
        <v>1.7165877903637959E-2</v>
      </c>
      <c r="F19" s="33">
        <v>1.7165877903637959E-2</v>
      </c>
    </row>
    <row r="20" spans="1:8" ht="15.75" customHeight="1" x14ac:dyDescent="0.25">
      <c r="B20" s="9" t="s">
        <v>87</v>
      </c>
      <c r="C20" s="33">
        <v>2.1412520394452399E-2</v>
      </c>
      <c r="D20" s="33">
        <v>2.1412520394452399E-2</v>
      </c>
      <c r="E20" s="33">
        <v>2.1412520394452399E-2</v>
      </c>
      <c r="F20" s="33">
        <v>2.1412520394452399E-2</v>
      </c>
    </row>
    <row r="21" spans="1:8" ht="15.75" customHeight="1" x14ac:dyDescent="0.25">
      <c r="B21" s="9" t="s">
        <v>88</v>
      </c>
      <c r="C21" s="33">
        <v>0.13633442984146171</v>
      </c>
      <c r="D21" s="33">
        <v>0.13633442984146171</v>
      </c>
      <c r="E21" s="33">
        <v>0.13633442984146171</v>
      </c>
      <c r="F21" s="33">
        <v>0.13633442984146171</v>
      </c>
    </row>
    <row r="22" spans="1:8" ht="15.75" customHeight="1" x14ac:dyDescent="0.25">
      <c r="B22" s="9" t="s">
        <v>89</v>
      </c>
      <c r="C22" s="33">
        <v>0.34787822745771269</v>
      </c>
      <c r="D22" s="33">
        <v>0.34787822745771269</v>
      </c>
      <c r="E22" s="33">
        <v>0.34787822745771269</v>
      </c>
      <c r="F22" s="33">
        <v>0.34787822745771269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4.7996967000000001E-2</v>
      </c>
    </row>
    <row r="27" spans="1:8" ht="15.75" customHeight="1" x14ac:dyDescent="0.25">
      <c r="B27" s="9" t="s">
        <v>92</v>
      </c>
      <c r="C27" s="33">
        <v>1.9231089E-2</v>
      </c>
    </row>
    <row r="28" spans="1:8" ht="15.75" customHeight="1" x14ac:dyDescent="0.25">
      <c r="B28" s="9" t="s">
        <v>93</v>
      </c>
      <c r="C28" s="33">
        <v>0.23147800700000001</v>
      </c>
    </row>
    <row r="29" spans="1:8" ht="15.75" customHeight="1" x14ac:dyDescent="0.25">
      <c r="B29" s="9" t="s">
        <v>94</v>
      </c>
      <c r="C29" s="33">
        <v>0.13894083700000001</v>
      </c>
    </row>
    <row r="30" spans="1:8" ht="15.75" customHeight="1" x14ac:dyDescent="0.25">
      <c r="B30" s="9" t="s">
        <v>95</v>
      </c>
      <c r="C30" s="33">
        <v>5.0303380000000002E-2</v>
      </c>
    </row>
    <row r="31" spans="1:8" ht="15.75" customHeight="1" x14ac:dyDescent="0.25">
      <c r="B31" s="9" t="s">
        <v>96</v>
      </c>
      <c r="C31" s="33">
        <v>7.028529E-2</v>
      </c>
    </row>
    <row r="32" spans="1:8" ht="15.75" customHeight="1" x14ac:dyDescent="0.25">
      <c r="B32" s="9" t="s">
        <v>97</v>
      </c>
      <c r="C32" s="33">
        <v>0.146633282</v>
      </c>
    </row>
    <row r="33" spans="2:3" ht="15.75" customHeight="1" x14ac:dyDescent="0.25">
      <c r="B33" s="9" t="s">
        <v>98</v>
      </c>
      <c r="C33" s="33">
        <v>0.12525921100000001</v>
      </c>
    </row>
    <row r="34" spans="2:3" ht="15.75" customHeight="1" x14ac:dyDescent="0.25">
      <c r="B34" s="9" t="s">
        <v>99</v>
      </c>
      <c r="C34" s="33">
        <v>0.169871936</v>
      </c>
    </row>
    <row r="35" spans="2:3" ht="15.75" customHeight="1" x14ac:dyDescent="0.25">
      <c r="B35" s="12" t="s">
        <v>30</v>
      </c>
      <c r="C35" s="30">
        <f>SUM(C26:C34)</f>
        <v>0.99999999900000014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0.10193014049492501</v>
      </c>
      <c r="D4" s="96">
        <v>0.10193014049492501</v>
      </c>
      <c r="E4" s="96">
        <v>0.12596887628672501</v>
      </c>
      <c r="F4" s="96">
        <v>0.21533782150803599</v>
      </c>
      <c r="G4" s="96">
        <v>0.23684384633384001</v>
      </c>
    </row>
    <row r="5" spans="1:15" ht="15.75" customHeight="1" x14ac:dyDescent="0.25">
      <c r="B5" s="59" t="s">
        <v>105</v>
      </c>
      <c r="C5" s="96">
        <v>7.2336245637439595E-2</v>
      </c>
      <c r="D5" s="96">
        <v>7.2336245637439595E-2</v>
      </c>
      <c r="E5" s="96">
        <v>7.6508295445341504E-2</v>
      </c>
      <c r="F5" s="96">
        <v>0.152883935152441</v>
      </c>
      <c r="G5" s="96">
        <v>0.17093407130406399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8.3412722396723607E-2</v>
      </c>
      <c r="D10" s="96">
        <v>8.3412722396723607E-2</v>
      </c>
      <c r="E10" s="96">
        <v>8.7488805103706199E-2</v>
      </c>
      <c r="F10" s="96">
        <v>8.4725683809968408E-2</v>
      </c>
      <c r="G10" s="96">
        <v>6.2665159698191295E-2</v>
      </c>
    </row>
    <row r="11" spans="1:15" ht="15.75" customHeight="1" x14ac:dyDescent="0.25">
      <c r="B11" s="59" t="s">
        <v>110</v>
      </c>
      <c r="C11" s="96">
        <v>5.2398547850182699E-2</v>
      </c>
      <c r="D11" s="96">
        <v>5.2398547850182699E-2</v>
      </c>
      <c r="E11" s="96">
        <v>4.0690045491699599E-2</v>
      </c>
      <c r="F11" s="96">
        <v>3.4083938404733102E-2</v>
      </c>
      <c r="G11" s="96">
        <v>2.1098500667906799E-2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0.29280085350000001</v>
      </c>
      <c r="D14" s="98">
        <v>0.28374893770699999</v>
      </c>
      <c r="E14" s="98">
        <v>0.28374893770699999</v>
      </c>
      <c r="F14" s="98">
        <v>0.220751489922</v>
      </c>
      <c r="G14" s="98">
        <v>0.220751489922</v>
      </c>
      <c r="H14" s="99">
        <v>0.42</v>
      </c>
      <c r="I14" s="99">
        <v>0.42</v>
      </c>
      <c r="J14" s="99">
        <v>0.42</v>
      </c>
      <c r="K14" s="99">
        <v>0.42</v>
      </c>
      <c r="L14" s="99">
        <v>0.28199999999999997</v>
      </c>
      <c r="M14" s="99">
        <v>0.28199999999999997</v>
      </c>
      <c r="N14" s="99">
        <v>0.28199999999999997</v>
      </c>
      <c r="O14" s="99">
        <v>0.28199999999999997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0.17053863631168648</v>
      </c>
      <c r="D15" s="95">
        <f t="shared" si="0"/>
        <v>0.16526644752912734</v>
      </c>
      <c r="E15" s="95">
        <f t="shared" si="0"/>
        <v>0.16526644752912734</v>
      </c>
      <c r="F15" s="95">
        <f t="shared" si="0"/>
        <v>0.12857427703867974</v>
      </c>
      <c r="G15" s="95">
        <f t="shared" si="0"/>
        <v>0.12857427703867974</v>
      </c>
      <c r="H15" s="95">
        <f t="shared" si="0"/>
        <v>0.24462437999999997</v>
      </c>
      <c r="I15" s="95">
        <f t="shared" si="0"/>
        <v>0.24462437999999997</v>
      </c>
      <c r="J15" s="95">
        <f t="shared" si="0"/>
        <v>0.24462437999999997</v>
      </c>
      <c r="K15" s="95">
        <f t="shared" si="0"/>
        <v>0.24462437999999997</v>
      </c>
      <c r="L15" s="95">
        <f t="shared" si="0"/>
        <v>0.16424779799999997</v>
      </c>
      <c r="M15" s="95">
        <f t="shared" si="0"/>
        <v>0.16424779799999997</v>
      </c>
      <c r="N15" s="95">
        <f t="shared" si="0"/>
        <v>0.16424779799999997</v>
      </c>
      <c r="O15" s="95">
        <f t="shared" si="0"/>
        <v>0.16424779799999997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0.66450710000000002</v>
      </c>
      <c r="D2" s="96">
        <v>0.4996447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3.7980559999999997E-2</v>
      </c>
      <c r="D3" s="96">
        <v>7.3969259999999995E-2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0.22020380000000001</v>
      </c>
      <c r="D4" s="96">
        <v>0.2993806</v>
      </c>
      <c r="E4" s="96">
        <v>0.83460456132888794</v>
      </c>
      <c r="F4" s="96">
        <v>0.67471897602081299</v>
      </c>
      <c r="G4" s="96">
        <v>0</v>
      </c>
    </row>
    <row r="5" spans="1:7" x14ac:dyDescent="0.25">
      <c r="B5" s="67" t="s">
        <v>122</v>
      </c>
      <c r="C5" s="95">
        <v>7.7308539999999898E-2</v>
      </c>
      <c r="D5" s="95">
        <v>0.12700544</v>
      </c>
      <c r="E5" s="95">
        <v>0.16539543867111209</v>
      </c>
      <c r="F5" s="95">
        <v>0.32528102397918701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2022-02-22T00:09:12Z</dcterms:modified>
</cp:coreProperties>
</file>