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07F3EEDB-1ABD-47FD-B421-97218C0C2D5D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<sst xmlns="http://schemas.openxmlformats.org/spreadsheetml/2006/main" count="2089" uniqueCount="344">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</sst>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207772.12890625</v>
      </c>
    </row>
    <row r="8" spans="1:3" ht="15" customHeight="1" x14ac:dyDescent="0.25">
      <c r="B8" s="7" t="s">
        <v>8</v>
      </c>
      <c r="C8" s="38">
        <v>2.1000000000000001E-2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0.88051116943359409</v>
      </c>
    </row>
    <row r="11" spans="1:3" ht="15" customHeight="1" x14ac:dyDescent="0.25">
      <c r="B11" s="7" t="s">
        <v>11</v>
      </c>
      <c r="C11" s="38">
        <v>0.96</v>
      </c>
    </row>
    <row r="12" spans="1:3" ht="15" customHeight="1" x14ac:dyDescent="0.25">
      <c r="B12" s="7" t="s">
        <v>12</v>
      </c>
      <c r="C12" s="38">
        <v>0.56999999999999995</v>
      </c>
    </row>
    <row r="13" spans="1:3" ht="15" customHeight="1" x14ac:dyDescent="0.25">
      <c r="B13" s="7" t="s">
        <v>13</v>
      </c>
      <c r="C13" s="38">
        <v>0.59799999999999998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0.11559999999999999</v>
      </c>
    </row>
    <row r="24" spans="1:3" ht="15" customHeight="1" x14ac:dyDescent="0.25">
      <c r="B24" s="10" t="s">
        <v>22</v>
      </c>
      <c r="C24" s="39">
        <v>0.64219999999999999</v>
      </c>
    </row>
    <row r="25" spans="1:3" ht="15" customHeight="1" x14ac:dyDescent="0.25">
      <c r="B25" s="10" t="s">
        <v>23</v>
      </c>
      <c r="C25" s="39">
        <v>0.23319999999999999</v>
      </c>
    </row>
    <row r="26" spans="1:3" ht="15" customHeight="1" x14ac:dyDescent="0.25">
      <c r="B26" s="10" t="s">
        <v>24</v>
      </c>
      <c r="C26" s="39">
        <v>9.0000000000000011E-3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0.44338135344044599</v>
      </c>
    </row>
    <row r="30" spans="1:3" ht="14.25" customHeight="1" x14ac:dyDescent="0.25">
      <c r="B30" s="16" t="s">
        <v>27</v>
      </c>
      <c r="C30" s="102">
        <v>5.9529081968315099E-2</v>
      </c>
    </row>
    <row r="31" spans="1:3" ht="14.25" customHeight="1" x14ac:dyDescent="0.25">
      <c r="B31" s="16" t="s">
        <v>28</v>
      </c>
      <c r="C31" s="102">
        <v>6.7946136238639404E-2</v>
      </c>
    </row>
    <row r="32" spans="1:3" ht="14.25" customHeight="1" x14ac:dyDescent="0.25">
      <c r="B32" s="16" t="s">
        <v>29</v>
      </c>
      <c r="C32" s="102">
        <v>0.4291434283526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6.4044000232725597</v>
      </c>
    </row>
    <row r="38" spans="1:5" ht="15" customHeight="1" x14ac:dyDescent="0.25">
      <c r="B38" s="22" t="s">
        <v>34</v>
      </c>
      <c r="C38" s="37">
        <v>10.5087235091144</v>
      </c>
      <c r="D38" s="104"/>
      <c r="E38" s="105"/>
    </row>
    <row r="39" spans="1:5" ht="15" customHeight="1" x14ac:dyDescent="0.25">
      <c r="B39" s="22" t="s">
        <v>35</v>
      </c>
      <c r="C39" s="37">
        <v>11.7888017002031</v>
      </c>
      <c r="D39" s="104"/>
      <c r="E39" s="104"/>
    </row>
    <row r="40" spans="1:5" ht="15" customHeight="1" x14ac:dyDescent="0.25">
      <c r="B40" s="22" t="s">
        <v>36</v>
      </c>
      <c r="C40" s="106">
        <v>0.26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12.87653581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2.4511700000000001E-2</v>
      </c>
      <c r="D45" s="104"/>
    </row>
    <row r="46" spans="1:5" ht="15.75" customHeight="1" x14ac:dyDescent="0.25">
      <c r="B46" s="22" t="s">
        <v>41</v>
      </c>
      <c r="C46" s="39">
        <v>8.519729999999999E-2</v>
      </c>
      <c r="D46" s="104"/>
    </row>
    <row r="47" spans="1:5" ht="15.75" customHeight="1" x14ac:dyDescent="0.25">
      <c r="B47" s="22" t="s">
        <v>42</v>
      </c>
      <c r="C47" s="39">
        <v>0.1393605</v>
      </c>
      <c r="D47" s="104"/>
      <c r="E47" s="105"/>
    </row>
    <row r="48" spans="1:5" ht="15" customHeight="1" x14ac:dyDescent="0.25">
      <c r="B48" s="22" t="s">
        <v>43</v>
      </c>
      <c r="C48" s="40">
        <v>0.75093050000000006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2.8</v>
      </c>
      <c r="D51" s="104"/>
    </row>
    <row r="52" spans="1:4" ht="15" customHeight="1" x14ac:dyDescent="0.25">
      <c r="B52" s="22" t="s">
        <v>46</v>
      </c>
      <c r="C52" s="42">
        <v>2.8</v>
      </c>
    </row>
    <row r="53" spans="1:4" ht="15.75" customHeight="1" x14ac:dyDescent="0.25">
      <c r="B53" s="22" t="s">
        <v>47</v>
      </c>
      <c r="C53" s="42">
        <v>2.8</v>
      </c>
    </row>
    <row r="54" spans="1:4" ht="15.75" customHeight="1" x14ac:dyDescent="0.25">
      <c r="B54" s="22" t="s">
        <v>48</v>
      </c>
      <c r="C54" s="42">
        <v>2.8</v>
      </c>
    </row>
    <row r="55" spans="1:4" ht="15.75" customHeight="1" x14ac:dyDescent="0.25">
      <c r="B55" s="22" t="s">
        <v>49</v>
      </c>
      <c r="C55" s="42">
        <v>2.8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1.6428571428571431E-2</v>
      </c>
    </row>
    <row r="59" spans="1:4" ht="15.75" customHeight="1" x14ac:dyDescent="0.25">
      <c r="B59" s="22" t="s">
        <v>52</v>
      </c>
      <c r="C59" s="38">
        <v>0.60118799999999994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8.9790992999999902E-2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0.74739099836576006</v>
      </c>
      <c r="C2" s="99">
        <v>0.95</v>
      </c>
      <c r="D2" s="100">
        <v>54.653082799861807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39.804453792134552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361.46883569981048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5.2075674297839774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0.231599269018364</v>
      </c>
      <c r="C10" s="99">
        <v>0.95</v>
      </c>
      <c r="D10" s="100">
        <v>12.93675323593046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0.231599269018364</v>
      </c>
      <c r="C11" s="99">
        <v>0.95</v>
      </c>
      <c r="D11" s="100">
        <v>12.93675323593046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0.231599269018364</v>
      </c>
      <c r="C12" s="99">
        <v>0.95</v>
      </c>
      <c r="D12" s="100">
        <v>12.93675323593046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0.231599269018364</v>
      </c>
      <c r="C13" s="99">
        <v>0.95</v>
      </c>
      <c r="D13" s="100">
        <v>12.93675323593046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0.231599269018364</v>
      </c>
      <c r="C14" s="99">
        <v>0.95</v>
      </c>
      <c r="D14" s="100">
        <v>12.93675323593046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0.231599269018364</v>
      </c>
      <c r="C15" s="99">
        <v>0.95</v>
      </c>
      <c r="D15" s="100">
        <v>12.93675323593046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0.64351903582580905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8.3490838120479509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8.3490838120479509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0.99802369999999996</v>
      </c>
      <c r="C21" s="99">
        <v>0.95</v>
      </c>
      <c r="D21" s="100">
        <v>48.402555773686338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22.285157611304289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4.2321962823102757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0.25227943286229998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0.180632963485193</v>
      </c>
      <c r="C27" s="99">
        <v>0.95</v>
      </c>
      <c r="D27" s="100">
        <v>18.478532540848281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0.93642307269535496</v>
      </c>
      <c r="C29" s="99">
        <v>0.95</v>
      </c>
      <c r="D29" s="100">
        <v>105.9420671559127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1.943813180751375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0.01</v>
      </c>
      <c r="C32" s="99">
        <v>0.95</v>
      </c>
      <c r="D32" s="100">
        <v>1.373975774619224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0.43367782235145602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2.4094410013032479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0.98923911507763806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2.8</v>
      </c>
      <c r="C2" s="118">
        <f>'Entradas de población-año base'!C52</f>
        <v>2.8</v>
      </c>
      <c r="D2" s="118">
        <f>'Entradas de población-año base'!C53</f>
        <v>2.8</v>
      </c>
      <c r="E2" s="118">
        <f>'Entradas de población-año base'!C54</f>
        <v>2.8</v>
      </c>
      <c r="F2" s="118">
        <f>'Entradas de población-año base'!C55</f>
        <v>2.8</v>
      </c>
    </row>
    <row r="3" spans="1:6" ht="15.75" customHeight="1" x14ac:dyDescent="0.25">
      <c r="A3" s="4" t="s">
        <v>204</v>
      </c>
      <c r="B3" s="118">
        <f>frac_mam_1month * 2.6</f>
        <v>0.12033520713448521</v>
      </c>
      <c r="C3" s="118">
        <f>frac_mam_1_5months * 2.6</f>
        <v>0.12033520713448521</v>
      </c>
      <c r="D3" s="118">
        <f>frac_mam_6_11months * 2.6</f>
        <v>5.0864489376545002E-2</v>
      </c>
      <c r="E3" s="118">
        <f>frac_mam_12_23months * 2.6</f>
        <v>2.74765394628049E-2</v>
      </c>
      <c r="F3" s="118">
        <f>frac_mam_24_59months * 2.6</f>
        <v>8.0181864649057341E-2</v>
      </c>
    </row>
    <row r="4" spans="1:6" ht="15.75" customHeight="1" x14ac:dyDescent="0.25">
      <c r="A4" s="4" t="s">
        <v>205</v>
      </c>
      <c r="B4" s="118">
        <f>frac_sam_1month * 2.6</f>
        <v>4.4465827941894576E-2</v>
      </c>
      <c r="C4" s="118">
        <f>frac_sam_1_5months * 2.6</f>
        <v>4.4465827941894576E-2</v>
      </c>
      <c r="D4" s="118">
        <f>frac_sam_6_11months * 2.6</f>
        <v>3.7502976134419379E-2</v>
      </c>
      <c r="E4" s="118">
        <f>frac_sam_12_23months * 2.6</f>
        <v>1.4363074768334502E-2</v>
      </c>
      <c r="F4" s="118">
        <f>frac_sam_24_59months * 2.6</f>
        <v>5.8252875134348958E-2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2.1000000000000001E-2</v>
      </c>
      <c r="E2" s="51">
        <f>food_insecure</f>
        <v>2.1000000000000001E-2</v>
      </c>
      <c r="F2" s="51">
        <f>food_insecure</f>
        <v>2.1000000000000001E-2</v>
      </c>
      <c r="G2" s="51">
        <f>food_insecure</f>
        <v>2.1000000000000001E-2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2.1000000000000001E-2</v>
      </c>
      <c r="F5" s="51">
        <f>food_insecure</f>
        <v>2.1000000000000001E-2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4.6000000000000006E-2</v>
      </c>
      <c r="D7" s="51">
        <f>diarrhoea_1_5mo*frac_diarrhea_severe</f>
        <v>4.6000000000000006E-2</v>
      </c>
      <c r="E7" s="51">
        <f>diarrhoea_6_11mo*frac_diarrhea_severe</f>
        <v>4.6000000000000006E-2</v>
      </c>
      <c r="F7" s="51">
        <f>diarrhoea_12_23mo*frac_diarrhea_severe</f>
        <v>4.6000000000000006E-2</v>
      </c>
      <c r="G7" s="51">
        <f>diarrhoea_24_59mo*frac_diarrhea_severe</f>
        <v>4.6000000000000006E-2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2.1000000000000001E-2</v>
      </c>
      <c r="F8" s="51">
        <f>food_insecure</f>
        <v>2.1000000000000001E-2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2.1000000000000001E-2</v>
      </c>
      <c r="F9" s="51">
        <f>food_insecure</f>
        <v>2.1000000000000001E-2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0.56999999999999995</v>
      </c>
      <c r="E10" s="51">
        <f>IF(ISBLANK(comm_deliv), frac_children_health_facility,1)</f>
        <v>0.56999999999999995</v>
      </c>
      <c r="F10" s="51">
        <f>IF(ISBLANK(comm_deliv), frac_children_health_facility,1)</f>
        <v>0.56999999999999995</v>
      </c>
      <c r="G10" s="51">
        <f>IF(ISBLANK(comm_deliv), frac_children_health_facility,1)</f>
        <v>0.56999999999999995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4.6000000000000006E-2</v>
      </c>
      <c r="D12" s="51">
        <f>diarrhoea_1_5mo*frac_diarrhea_severe</f>
        <v>4.6000000000000006E-2</v>
      </c>
      <c r="E12" s="51">
        <f>diarrhoea_6_11mo*frac_diarrhea_severe</f>
        <v>4.6000000000000006E-2</v>
      </c>
      <c r="F12" s="51">
        <f>diarrhoea_12_23mo*frac_diarrhea_severe</f>
        <v>4.6000000000000006E-2</v>
      </c>
      <c r="G12" s="51">
        <f>diarrhoea_24_59mo*frac_diarrhea_severe</f>
        <v>4.6000000000000006E-2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2.1000000000000001E-2</v>
      </c>
      <c r="I15" s="51">
        <f>food_insecure</f>
        <v>2.1000000000000001E-2</v>
      </c>
      <c r="J15" s="51">
        <f>food_insecure</f>
        <v>2.1000000000000001E-2</v>
      </c>
      <c r="K15" s="51">
        <f>food_insecure</f>
        <v>2.1000000000000001E-2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0.96</v>
      </c>
      <c r="I18" s="51">
        <f>frac_PW_health_facility</f>
        <v>0.96</v>
      </c>
      <c r="J18" s="51">
        <f>frac_PW_health_facility</f>
        <v>0.96</v>
      </c>
      <c r="K18" s="51">
        <f>frac_PW_health_facility</f>
        <v>0.96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0.59799999999999998</v>
      </c>
      <c r="M24" s="51">
        <f>famplan_unmet_need</f>
        <v>0.59799999999999998</v>
      </c>
      <c r="N24" s="51">
        <f>famplan_unmet_need</f>
        <v>0.59799999999999998</v>
      </c>
      <c r="O24" s="51">
        <f>famplan_unmet_need</f>
        <v>0.59799999999999998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5.907647272033674E-2</v>
      </c>
      <c r="M25" s="51">
        <f>(1-food_insecure)*(0.49)+food_insecure*(0.7)</f>
        <v>0.49440999999999996</v>
      </c>
      <c r="N25" s="51">
        <f>(1-food_insecure)*(0.49)+food_insecure*(0.7)</f>
        <v>0.49440999999999996</v>
      </c>
      <c r="O25" s="51">
        <f>(1-food_insecure)*(0.49)+food_insecure*(0.7)</f>
        <v>0.49440999999999996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2.5318488308715748E-2</v>
      </c>
      <c r="M26" s="51">
        <f>(1-food_insecure)*(0.21)+food_insecure*(0.3)</f>
        <v>0.21189</v>
      </c>
      <c r="N26" s="51">
        <f>(1-food_insecure)*(0.21)+food_insecure*(0.3)</f>
        <v>0.21189</v>
      </c>
      <c r="O26" s="51">
        <f>(1-food_insecure)*(0.21)+food_insecure*(0.3)</f>
        <v>0.21189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3.5093869537353412E-2</v>
      </c>
      <c r="M27" s="51">
        <f>(1-food_insecure)*(0.3)</f>
        <v>0.29369999999999996</v>
      </c>
      <c r="N27" s="51">
        <f>(1-food_insecure)*(0.3)</f>
        <v>0.29369999999999996</v>
      </c>
      <c r="O27" s="51">
        <f>(1-food_insecure)*(0.3)</f>
        <v>0.29369999999999996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0.88051116943359409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34395.648000000001</v>
      </c>
      <c r="C2" s="107">
        <v>81000</v>
      </c>
      <c r="D2" s="107">
        <v>193000</v>
      </c>
      <c r="E2" s="107">
        <v>271000</v>
      </c>
      <c r="F2" s="107">
        <v>198000</v>
      </c>
      <c r="G2" s="108">
        <f t="shared" ref="G2:G16" si="0">C2+D2+E2+F2</f>
        <v>743000</v>
      </c>
      <c r="H2" s="108">
        <f t="shared" ref="H2:H40" si="1">(B2 + stillbirth*B2/(1000-stillbirth))/(1-abortion)</f>
        <v>39595.820638744772</v>
      </c>
      <c r="I2" s="108">
        <f t="shared" ref="I2:I40" si="2">G2-H2</f>
        <v>703404.17936125526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33502.476000000002</v>
      </c>
      <c r="C3" s="107">
        <v>83000</v>
      </c>
      <c r="D3" s="107">
        <v>182000</v>
      </c>
      <c r="E3" s="107">
        <v>272000</v>
      </c>
      <c r="F3" s="107">
        <v>206000</v>
      </c>
      <c r="G3" s="108">
        <f t="shared" si="0"/>
        <v>743000</v>
      </c>
      <c r="H3" s="108">
        <f t="shared" si="1"/>
        <v>38567.612700590827</v>
      </c>
      <c r="I3" s="108">
        <f t="shared" si="2"/>
        <v>704432.38729940914</v>
      </c>
    </row>
    <row r="4" spans="1:9" ht="15.75" customHeight="1" x14ac:dyDescent="0.25">
      <c r="A4" s="7">
        <f t="shared" si="3"/>
        <v>2023</v>
      </c>
      <c r="B4" s="43">
        <v>32598.212399999989</v>
      </c>
      <c r="C4" s="107">
        <v>86000</v>
      </c>
      <c r="D4" s="107">
        <v>172000</v>
      </c>
      <c r="E4" s="107">
        <v>270000</v>
      </c>
      <c r="F4" s="107">
        <v>213000</v>
      </c>
      <c r="G4" s="108">
        <f t="shared" si="0"/>
        <v>741000</v>
      </c>
      <c r="H4" s="108">
        <f t="shared" si="1"/>
        <v>37526.63625741563</v>
      </c>
      <c r="I4" s="108">
        <f t="shared" si="2"/>
        <v>703473.36374258436</v>
      </c>
    </row>
    <row r="5" spans="1:9" ht="15.75" customHeight="1" x14ac:dyDescent="0.25">
      <c r="A5" s="7">
        <f t="shared" si="3"/>
        <v>2024</v>
      </c>
      <c r="B5" s="43">
        <v>31683.768599999989</v>
      </c>
      <c r="C5" s="107">
        <v>89000</v>
      </c>
      <c r="D5" s="107">
        <v>164000</v>
      </c>
      <c r="E5" s="107">
        <v>266000</v>
      </c>
      <c r="F5" s="107">
        <v>222000</v>
      </c>
      <c r="G5" s="108">
        <f t="shared" si="0"/>
        <v>741000</v>
      </c>
      <c r="H5" s="108">
        <f t="shared" si="1"/>
        <v>36473.94050099283</v>
      </c>
      <c r="I5" s="108">
        <f t="shared" si="2"/>
        <v>704526.05949900718</v>
      </c>
    </row>
    <row r="6" spans="1:9" ht="15.75" customHeight="1" x14ac:dyDescent="0.25">
      <c r="A6" s="7">
        <f t="shared" si="3"/>
        <v>2025</v>
      </c>
      <c r="B6" s="43">
        <v>30760.056</v>
      </c>
      <c r="C6" s="107">
        <v>91000</v>
      </c>
      <c r="D6" s="107">
        <v>159000</v>
      </c>
      <c r="E6" s="107">
        <v>260000</v>
      </c>
      <c r="F6" s="107">
        <v>230000</v>
      </c>
      <c r="G6" s="108">
        <f t="shared" si="0"/>
        <v>740000</v>
      </c>
      <c r="H6" s="108">
        <f t="shared" si="1"/>
        <v>35410.574623096065</v>
      </c>
      <c r="I6" s="108">
        <f t="shared" si="2"/>
        <v>704589.42537690396</v>
      </c>
    </row>
    <row r="7" spans="1:9" ht="15.75" customHeight="1" x14ac:dyDescent="0.25">
      <c r="A7" s="7">
        <f t="shared" si="3"/>
        <v>2026</v>
      </c>
      <c r="B7" s="43">
        <v>30223.299599999998</v>
      </c>
      <c r="C7" s="107">
        <v>93000</v>
      </c>
      <c r="D7" s="107">
        <v>157000</v>
      </c>
      <c r="E7" s="107">
        <v>250000</v>
      </c>
      <c r="F7" s="107">
        <v>238000</v>
      </c>
      <c r="G7" s="108">
        <f t="shared" si="0"/>
        <v>738000</v>
      </c>
      <c r="H7" s="108">
        <f t="shared" si="1"/>
        <v>34792.667667509755</v>
      </c>
      <c r="I7" s="108">
        <f t="shared" si="2"/>
        <v>703207.33233249024</v>
      </c>
    </row>
    <row r="8" spans="1:9" ht="15.75" customHeight="1" x14ac:dyDescent="0.25">
      <c r="A8" s="7">
        <f t="shared" si="3"/>
        <v>2027</v>
      </c>
      <c r="B8" s="43">
        <v>29667.299200000001</v>
      </c>
      <c r="C8" s="107">
        <v>94000</v>
      </c>
      <c r="D8" s="107">
        <v>157000</v>
      </c>
      <c r="E8" s="107">
        <v>238000</v>
      </c>
      <c r="F8" s="107">
        <v>247000</v>
      </c>
      <c r="G8" s="108">
        <f t="shared" si="0"/>
        <v>736000</v>
      </c>
      <c r="H8" s="108">
        <f t="shared" si="1"/>
        <v>34152.607270523768</v>
      </c>
      <c r="I8" s="108">
        <f t="shared" si="2"/>
        <v>701847.39272947621</v>
      </c>
    </row>
    <row r="9" spans="1:9" ht="15.75" customHeight="1" x14ac:dyDescent="0.25">
      <c r="A9" s="7">
        <f t="shared" si="3"/>
        <v>2028</v>
      </c>
      <c r="B9" s="43">
        <v>29103.056</v>
      </c>
      <c r="C9" s="107">
        <v>95000</v>
      </c>
      <c r="D9" s="107">
        <v>159000</v>
      </c>
      <c r="E9" s="107">
        <v>226000</v>
      </c>
      <c r="F9" s="107">
        <v>254000</v>
      </c>
      <c r="G9" s="108">
        <f t="shared" si="0"/>
        <v>734000</v>
      </c>
      <c r="H9" s="108">
        <f t="shared" si="1"/>
        <v>33503.057869860306</v>
      </c>
      <c r="I9" s="108">
        <f t="shared" si="2"/>
        <v>700496.94213013968</v>
      </c>
    </row>
    <row r="10" spans="1:9" ht="15.75" customHeight="1" x14ac:dyDescent="0.25">
      <c r="A10" s="7">
        <f t="shared" si="3"/>
        <v>2029</v>
      </c>
      <c r="B10" s="43">
        <v>28540.881600000001</v>
      </c>
      <c r="C10" s="107">
        <v>95000</v>
      </c>
      <c r="D10" s="107">
        <v>162000</v>
      </c>
      <c r="E10" s="107">
        <v>212000</v>
      </c>
      <c r="F10" s="107">
        <v>260000</v>
      </c>
      <c r="G10" s="108">
        <f t="shared" si="0"/>
        <v>729000</v>
      </c>
      <c r="H10" s="108">
        <f t="shared" si="1"/>
        <v>32855.890044730397</v>
      </c>
      <c r="I10" s="108">
        <f t="shared" si="2"/>
        <v>696144.10995526961</v>
      </c>
    </row>
    <row r="11" spans="1:9" ht="15.75" customHeight="1" x14ac:dyDescent="0.25">
      <c r="A11" s="7">
        <f t="shared" si="3"/>
        <v>2030</v>
      </c>
      <c r="B11" s="43">
        <v>27971.153999999999</v>
      </c>
      <c r="C11" s="107">
        <v>95000</v>
      </c>
      <c r="D11" s="107">
        <v>166000</v>
      </c>
      <c r="E11" s="107">
        <v>200000</v>
      </c>
      <c r="F11" s="107">
        <v>264000</v>
      </c>
      <c r="G11" s="108">
        <f t="shared" si="0"/>
        <v>725000</v>
      </c>
      <c r="H11" s="108">
        <f t="shared" si="1"/>
        <v>32200.027074434191</v>
      </c>
      <c r="I11" s="108">
        <f t="shared" si="2"/>
        <v>692799.97292556579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6.8946276416083294E-2</v>
      </c>
    </row>
    <row r="5" spans="1:8" ht="15.75" customHeight="1" x14ac:dyDescent="0.25">
      <c r="B5" s="13" t="s">
        <v>70</v>
      </c>
      <c r="C5" s="44">
        <v>5.7839485765624248E-2</v>
      </c>
    </row>
    <row r="6" spans="1:8" ht="15.75" customHeight="1" x14ac:dyDescent="0.25">
      <c r="B6" s="13" t="s">
        <v>71</v>
      </c>
      <c r="C6" s="44">
        <v>0.11388953511411901</v>
      </c>
    </row>
    <row r="7" spans="1:8" ht="15.75" customHeight="1" x14ac:dyDescent="0.25">
      <c r="B7" s="13" t="s">
        <v>72</v>
      </c>
      <c r="C7" s="44">
        <v>0.40706725027018131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0.26434127700274751</v>
      </c>
    </row>
    <row r="10" spans="1:8" ht="15.75" customHeight="1" x14ac:dyDescent="0.25">
      <c r="B10" s="13" t="s">
        <v>75</v>
      </c>
      <c r="C10" s="44">
        <v>8.7916175431244775E-2</v>
      </c>
    </row>
    <row r="11" spans="1:8" ht="15.75" customHeight="1" x14ac:dyDescent="0.25">
      <c r="B11" s="18" t="s">
        <v>30</v>
      </c>
      <c r="C11" s="41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2.6435086302677008E-2</v>
      </c>
      <c r="D14" s="44">
        <v>2.6435086302677008E-2</v>
      </c>
      <c r="E14" s="44">
        <v>2.6435086302677008E-2</v>
      </c>
      <c r="F14" s="44">
        <v>2.6435086302677008E-2</v>
      </c>
    </row>
    <row r="15" spans="1:8" ht="15.75" customHeight="1" x14ac:dyDescent="0.25">
      <c r="B15" s="13" t="s">
        <v>82</v>
      </c>
      <c r="C15" s="44">
        <v>0.1580120287046371</v>
      </c>
      <c r="D15" s="44">
        <v>0.1580120287046371</v>
      </c>
      <c r="E15" s="44">
        <v>0.1580120287046371</v>
      </c>
      <c r="F15" s="44">
        <v>0.1580120287046371</v>
      </c>
    </row>
    <row r="16" spans="1:8" ht="15.75" customHeight="1" x14ac:dyDescent="0.25">
      <c r="B16" s="13" t="s">
        <v>83</v>
      </c>
      <c r="C16" s="44">
        <v>3.1961997238052181E-2</v>
      </c>
      <c r="D16" s="44">
        <v>3.1961997238052181E-2</v>
      </c>
      <c r="E16" s="44">
        <v>3.1961997238052181E-2</v>
      </c>
      <c r="F16" s="44">
        <v>3.1961997238052181E-2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8.9784208430378071E-3</v>
      </c>
      <c r="D19" s="44">
        <v>8.9784208430378071E-3</v>
      </c>
      <c r="E19" s="44">
        <v>8.9784208430378071E-3</v>
      </c>
      <c r="F19" s="44">
        <v>8.9784208430378071E-3</v>
      </c>
    </row>
    <row r="20" spans="1:8" ht="15.75" customHeight="1" x14ac:dyDescent="0.25">
      <c r="B20" s="13" t="s">
        <v>87</v>
      </c>
      <c r="C20" s="44">
        <v>8.8605328597492674E-3</v>
      </c>
      <c r="D20" s="44">
        <v>8.8605328597492674E-3</v>
      </c>
      <c r="E20" s="44">
        <v>8.8605328597492674E-3</v>
      </c>
      <c r="F20" s="44">
        <v>8.8605328597492674E-3</v>
      </c>
    </row>
    <row r="21" spans="1:8" ht="15.75" customHeight="1" x14ac:dyDescent="0.25">
      <c r="B21" s="13" t="s">
        <v>88</v>
      </c>
      <c r="C21" s="44">
        <v>0.1715584250905586</v>
      </c>
      <c r="D21" s="44">
        <v>0.1715584250905586</v>
      </c>
      <c r="E21" s="44">
        <v>0.1715584250905586</v>
      </c>
      <c r="F21" s="44">
        <v>0.1715584250905586</v>
      </c>
    </row>
    <row r="22" spans="1:8" ht="15.75" customHeight="1" x14ac:dyDescent="0.25">
      <c r="B22" s="13" t="s">
        <v>89</v>
      </c>
      <c r="C22" s="44">
        <v>0.59419350896128809</v>
      </c>
      <c r="D22" s="44">
        <v>0.59419350896128809</v>
      </c>
      <c r="E22" s="44">
        <v>0.59419350896128809</v>
      </c>
      <c r="F22" s="44">
        <v>0.59419350896128809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5.5148427E-2</v>
      </c>
    </row>
    <row r="27" spans="1:8" ht="15.75" customHeight="1" x14ac:dyDescent="0.25">
      <c r="B27" s="13" t="s">
        <v>92</v>
      </c>
      <c r="C27" s="44">
        <v>5.9724672999999999E-2</v>
      </c>
    </row>
    <row r="28" spans="1:8" ht="15.75" customHeight="1" x14ac:dyDescent="0.25">
      <c r="B28" s="13" t="s">
        <v>93</v>
      </c>
      <c r="C28" s="44">
        <v>0.12066906600000001</v>
      </c>
    </row>
    <row r="29" spans="1:8" ht="15.75" customHeight="1" x14ac:dyDescent="0.25">
      <c r="B29" s="13" t="s">
        <v>94</v>
      </c>
      <c r="C29" s="44">
        <v>0.1353181</v>
      </c>
    </row>
    <row r="30" spans="1:8" ht="15.75" customHeight="1" x14ac:dyDescent="0.25">
      <c r="B30" s="13" t="s">
        <v>95</v>
      </c>
      <c r="C30" s="44">
        <v>8.1906013999999999E-2</v>
      </c>
    </row>
    <row r="31" spans="1:8" ht="15.75" customHeight="1" x14ac:dyDescent="0.25">
      <c r="B31" s="13" t="s">
        <v>96</v>
      </c>
      <c r="C31" s="44">
        <v>6.5112185000000003E-2</v>
      </c>
    </row>
    <row r="32" spans="1:8" ht="15.75" customHeight="1" x14ac:dyDescent="0.25">
      <c r="B32" s="13" t="s">
        <v>97</v>
      </c>
      <c r="C32" s="44">
        <v>0.130658369</v>
      </c>
    </row>
    <row r="33" spans="2:3" ht="15.75" customHeight="1" x14ac:dyDescent="0.25">
      <c r="B33" s="13" t="s">
        <v>98</v>
      </c>
      <c r="C33" s="44">
        <v>0.127118964</v>
      </c>
    </row>
    <row r="34" spans="2:3" ht="15.75" customHeight="1" x14ac:dyDescent="0.25">
      <c r="B34" s="13" t="s">
        <v>99</v>
      </c>
      <c r="C34" s="44">
        <v>0.22434420299999999</v>
      </c>
    </row>
    <row r="35" spans="2:3" ht="15.75" customHeight="1" x14ac:dyDescent="0.25">
      <c r="B35" s="18" t="s">
        <v>30</v>
      </c>
      <c r="C35" s="41">
        <f>SUM(C26:C34)</f>
        <v>1.0000000009999999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0.50628780696453823</v>
      </c>
      <c r="D2" s="109">
        <f>IFERROR(1-_xlfn.NORM.DIST(_xlfn.NORM.INV(SUM(D4:D5), 0, 1) + 1, 0, 1, TRUE), "")</f>
        <v>0.50628780696453823</v>
      </c>
      <c r="E2" s="109">
        <f>IFERROR(1-_xlfn.NORM.DIST(_xlfn.NORM.INV(SUM(E4:E5), 0, 1) + 1, 0, 1, TRUE), "")</f>
        <v>0.53643421269993352</v>
      </c>
      <c r="F2" s="109">
        <f>IFERROR(1-_xlfn.NORM.DIST(_xlfn.NORM.INV(SUM(F4:F5), 0, 1) + 1, 0, 1, TRUE), "")</f>
        <v>0.58636807752974474</v>
      </c>
      <c r="G2" s="109">
        <f>IFERROR(1-_xlfn.NORM.DIST(_xlfn.NORM.INV(SUM(G4:G5), 0, 1) + 1, 0, 1, TRUE), "")</f>
        <v>0.67965191812213555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0.33884078886447155</v>
      </c>
      <c r="D3" s="109">
        <f>IFERROR(_xlfn.NORM.DIST(_xlfn.NORM.INV(SUM(D4:D5), 0, 1) + 1, 0, 1, TRUE) - SUM(D4:D5), "")</f>
        <v>0.33884078886447155</v>
      </c>
      <c r="E3" s="109">
        <f>IFERROR(_xlfn.NORM.DIST(_xlfn.NORM.INV(SUM(E4:E5), 0, 1) + 1, 0, 1, TRUE) - SUM(E4:E5), "")</f>
        <v>0.3260292839254898</v>
      </c>
      <c r="F3" s="109">
        <f>IFERROR(_xlfn.NORM.DIST(_xlfn.NORM.INV(SUM(F4:F5), 0, 1) + 1, 0, 1, TRUE) - SUM(F4:F5), "")</f>
        <v>0.30206023426525153</v>
      </c>
      <c r="G3" s="109">
        <f>IFERROR(_xlfn.NORM.DIST(_xlfn.NORM.INV(SUM(G4:G5), 0, 1) + 1, 0, 1, TRUE) - SUM(G4:G5), "")</f>
        <v>0.24912273301783905</v>
      </c>
    </row>
    <row r="4" spans="1:15" ht="15.75" customHeight="1" x14ac:dyDescent="0.25">
      <c r="B4" s="7" t="s">
        <v>104</v>
      </c>
      <c r="C4" s="110">
        <v>0.11276332288980501</v>
      </c>
      <c r="D4" s="110">
        <v>0.11276332288980501</v>
      </c>
      <c r="E4" s="110">
        <v>3.4444905817508698E-2</v>
      </c>
      <c r="F4" s="110">
        <v>6.6618129611015306E-2</v>
      </c>
      <c r="G4" s="110">
        <v>4.8056781291961698E-2</v>
      </c>
    </row>
    <row r="5" spans="1:15" ht="15.75" customHeight="1" x14ac:dyDescent="0.25">
      <c r="B5" s="7" t="s">
        <v>105</v>
      </c>
      <c r="C5" s="110">
        <v>4.2108081281185213E-2</v>
      </c>
      <c r="D5" s="110">
        <v>4.2108081281185213E-2</v>
      </c>
      <c r="E5" s="110">
        <v>0.103091597557068</v>
      </c>
      <c r="F5" s="110">
        <v>4.4953558593988398E-2</v>
      </c>
      <c r="G5" s="110">
        <v>2.3168567568063701E-2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0.70089061715437462</v>
      </c>
      <c r="D8" s="109">
        <f>IFERROR(1-_xlfn.NORM.DIST(_xlfn.NORM.INV(SUM(D10:D11), 0, 1) + 1, 0, 1, TRUE), "")</f>
        <v>0.70089061715437462</v>
      </c>
      <c r="E8" s="109">
        <f>IFERROR(1-_xlfn.NORM.DIST(_xlfn.NORM.INV(SUM(E10:E11), 0, 1) + 1, 0, 1, TRUE), "")</f>
        <v>0.79536322239051327</v>
      </c>
      <c r="F8" s="109">
        <f>IFERROR(1-_xlfn.NORM.DIST(_xlfn.NORM.INV(SUM(F10:F11), 0, 1) + 1, 0, 1, TRUE), "")</f>
        <v>0.87329665821344316</v>
      </c>
      <c r="G8" s="109">
        <f>IFERROR(1-_xlfn.NORM.DIST(_xlfn.NORM.INV(SUM(G10:G11), 0, 1) + 1, 0, 1, TRUE), "")</f>
        <v>0.73045200013542899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0.23572436935471008</v>
      </c>
      <c r="D9" s="109">
        <f>IFERROR(_xlfn.NORM.DIST(_xlfn.NORM.INV(SUM(D10:D11), 0, 1) + 1, 0, 1, TRUE) - SUM(D10:D11), "")</f>
        <v>0.23572436935471008</v>
      </c>
      <c r="E9" s="109">
        <f>IFERROR(_xlfn.NORM.DIST(_xlfn.NORM.INV(SUM(E10:E11), 0, 1) + 1, 0, 1, TRUE) - SUM(E10:E11), "")</f>
        <v>0.1706492908745004</v>
      </c>
      <c r="F9" s="109">
        <f>IFERROR(_xlfn.NORM.DIST(_xlfn.NORM.INV(SUM(F10:F11), 0, 1) + 1, 0, 1, TRUE) - SUM(F10:F11), "")</f>
        <v>0.11061118246688786</v>
      </c>
      <c r="G9" s="109">
        <f>IFERROR(_xlfn.NORM.DIST(_xlfn.NORM.INV(SUM(G10:G11), 0, 1) + 1, 0, 1, TRUE) - SUM(G10:G11), "")</f>
        <v>0.21630386917864552</v>
      </c>
    </row>
    <row r="10" spans="1:15" ht="15.75" customHeight="1" x14ac:dyDescent="0.25">
      <c r="B10" s="7" t="s">
        <v>109</v>
      </c>
      <c r="C10" s="110">
        <v>4.6282771974802003E-2</v>
      </c>
      <c r="D10" s="110">
        <v>4.6282771974802003E-2</v>
      </c>
      <c r="E10" s="110">
        <v>1.9563265144824999E-2</v>
      </c>
      <c r="F10" s="110">
        <v>1.0567899793386499E-2</v>
      </c>
      <c r="G10" s="110">
        <v>3.0839178711175901E-2</v>
      </c>
    </row>
    <row r="11" spans="1:15" ht="15.75" customHeight="1" x14ac:dyDescent="0.25">
      <c r="B11" s="7" t="s">
        <v>110</v>
      </c>
      <c r="C11" s="110">
        <v>1.7102241516113299E-2</v>
      </c>
      <c r="D11" s="110">
        <v>1.7102241516113299E-2</v>
      </c>
      <c r="E11" s="110">
        <v>1.4424221590161299E-2</v>
      </c>
      <c r="F11" s="110">
        <v>5.5242595262825003E-3</v>
      </c>
      <c r="G11" s="110">
        <v>2.24049519747496E-2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0.62407766624999994</v>
      </c>
      <c r="D14" s="112">
        <v>0.59355650138799998</v>
      </c>
      <c r="E14" s="112">
        <v>0.59355650138799998</v>
      </c>
      <c r="F14" s="112">
        <v>0.38795445540500001</v>
      </c>
      <c r="G14" s="112">
        <v>0.38795445540500001</v>
      </c>
      <c r="H14" s="113">
        <v>0.35499999999999998</v>
      </c>
      <c r="I14" s="113">
        <v>0.35499999999999998</v>
      </c>
      <c r="J14" s="113">
        <v>0.35499999999999998</v>
      </c>
      <c r="K14" s="113">
        <v>0.35499999999999998</v>
      </c>
      <c r="L14" s="113">
        <v>0.29199999999999998</v>
      </c>
      <c r="M14" s="113">
        <v>0.29199999999999998</v>
      </c>
      <c r="N14" s="113">
        <v>0.29199999999999998</v>
      </c>
      <c r="O14" s="113">
        <v>0.29199999999999998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0.37518800401750491</v>
      </c>
      <c r="D15" s="109">
        <f t="shared" si="0"/>
        <v>0.35683904595644889</v>
      </c>
      <c r="E15" s="109">
        <f t="shared" si="0"/>
        <v>0.35683904595644889</v>
      </c>
      <c r="F15" s="109">
        <f t="shared" si="0"/>
        <v>0.23323356313602112</v>
      </c>
      <c r="G15" s="109">
        <f t="shared" si="0"/>
        <v>0.23323356313602112</v>
      </c>
      <c r="H15" s="109">
        <f t="shared" si="0"/>
        <v>0.21342173999999997</v>
      </c>
      <c r="I15" s="109">
        <f t="shared" si="0"/>
        <v>0.21342173999999997</v>
      </c>
      <c r="J15" s="109">
        <f t="shared" si="0"/>
        <v>0.21342173999999997</v>
      </c>
      <c r="K15" s="109">
        <f t="shared" si="0"/>
        <v>0.21342173999999997</v>
      </c>
      <c r="L15" s="109">
        <f t="shared" si="0"/>
        <v>0.17554689599999998</v>
      </c>
      <c r="M15" s="109">
        <f t="shared" si="0"/>
        <v>0.17554689599999998</v>
      </c>
      <c r="N15" s="109">
        <f t="shared" si="0"/>
        <v>0.17554689599999998</v>
      </c>
      <c r="O15" s="109">
        <f t="shared" si="0"/>
        <v>0.17554689599999998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0.79653984308242798</v>
      </c>
      <c r="D2" s="110">
        <v>0.40002630000000011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7.6249025762081105E-2</v>
      </c>
      <c r="D3" s="110">
        <v>0.16771440000000001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5.8421913534402813E-2</v>
      </c>
      <c r="D4" s="110">
        <v>0.2675015</v>
      </c>
      <c r="E4" s="110">
        <v>0.709208965301514</v>
      </c>
      <c r="F4" s="110">
        <v>0.28720593452453602</v>
      </c>
      <c r="G4" s="110">
        <v>0</v>
      </c>
    </row>
    <row r="5" spans="1:7" x14ac:dyDescent="0.25">
      <c r="B5" s="83" t="s">
        <v>122</v>
      </c>
      <c r="C5" s="109">
        <v>6.8789213895797702E-2</v>
      </c>
      <c r="D5" s="109">
        <v>0.16475774347782099</v>
      </c>
      <c r="E5" s="109">
        <f>1-SUM(E2:E4)</f>
        <v>0.290791034698486</v>
      </c>
      <c r="F5" s="109">
        <f>1-SUM(F2:F4)</f>
        <v>0.71279406547546398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2022-02-28T05:51:09Z</dcterms:modified>
</cp:coreProperties>
</file>