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.shortcut-targets-by-id\0B2k5hvlxN8FnTm9fb1c2alB2cjQ\Optima\Optima Nutrition\Development\LiST Optima bridge\App\es\"/>
    </mc:Choice>
  </mc:AlternateContent>
  <xr:revisionPtr revIDLastSave="0" documentId="8_{C214E3BA-E90F-49AA-9FAE-4673688794E5}" xr6:coauthVersionLast="47" xr6:coauthVersionMax="47" xr10:uidLastSave="{00000000-0000-0000-0000-000000000000}"/>
  <bookViews>
    <workbookView xWindow="-28920" yWindow="-120" windowWidth="29040" windowHeight="15840" tabRatio="961" firstSheet="10" activeTab="2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r:id="rId13"/>
    <sheet name="Población objetivo del programa" sheetId="14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r:id="rId18"/>
    <sheet name="Riegos para la población" sheetId="19" state="hidden" r:id="rId19"/>
    <sheet name="Razón de momios IYCF" sheetId="20" r:id="rId20"/>
    <sheet name="Riesgos desenlace de nacimiento" sheetId="21" r:id="rId21"/>
    <sheet name="Riesgos relativos" sheetId="22" r:id="rId22"/>
    <sheet name="Razón de momios" sheetId="23" r:id="rId23"/>
    <sheet name="Resultados de nacimiento- prog" sheetId="24" r:id="rId24"/>
    <sheet name="Programas de anemia" sheetId="25" r:id="rId25"/>
    <sheet name="Programas para emaciación" sheetId="26" r:id="rId26"/>
    <sheet name="Programas para niños" sheetId="27" r:id="rId27"/>
    <sheet name="Prog. para mujeres embarazadas" sheetId="28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I39" i="2"/>
  <c r="H39" i="2"/>
  <c r="G39" i="2"/>
  <c r="H38" i="2"/>
  <c r="G38" i="2"/>
  <c r="I38" i="2" s="1"/>
  <c r="I37" i="2"/>
  <c r="H37" i="2"/>
  <c r="G37" i="2"/>
  <c r="H36" i="2"/>
  <c r="G36" i="2"/>
  <c r="I36" i="2" s="1"/>
  <c r="I35" i="2"/>
  <c r="H35" i="2"/>
  <c r="G35" i="2"/>
  <c r="H34" i="2"/>
  <c r="G34" i="2"/>
  <c r="I34" i="2" s="1"/>
  <c r="I33" i="2"/>
  <c r="H33" i="2"/>
  <c r="G33" i="2"/>
  <c r="H32" i="2"/>
  <c r="G32" i="2"/>
  <c r="I32" i="2" s="1"/>
  <c r="I31" i="2"/>
  <c r="H31" i="2"/>
  <c r="G31" i="2"/>
  <c r="H30" i="2"/>
  <c r="G30" i="2"/>
  <c r="I30" i="2" s="1"/>
  <c r="I29" i="2"/>
  <c r="H29" i="2"/>
  <c r="G29" i="2"/>
  <c r="H28" i="2"/>
  <c r="G28" i="2"/>
  <c r="I28" i="2" s="1"/>
  <c r="I27" i="2"/>
  <c r="H27" i="2"/>
  <c r="G27" i="2"/>
  <c r="H26" i="2"/>
  <c r="G26" i="2"/>
  <c r="I26" i="2" s="1"/>
  <c r="I25" i="2"/>
  <c r="H25" i="2"/>
  <c r="G25" i="2"/>
  <c r="H24" i="2"/>
  <c r="G24" i="2"/>
  <c r="I24" i="2" s="1"/>
  <c r="I23" i="2"/>
  <c r="H23" i="2"/>
  <c r="G23" i="2"/>
  <c r="H22" i="2"/>
  <c r="G22" i="2"/>
  <c r="I22" i="2" s="1"/>
  <c r="I21" i="2"/>
  <c r="H21" i="2"/>
  <c r="G21" i="2"/>
  <c r="H20" i="2"/>
  <c r="G20" i="2"/>
  <c r="I20" i="2" s="1"/>
  <c r="I19" i="2"/>
  <c r="H19" i="2"/>
  <c r="G19" i="2"/>
  <c r="H18" i="2"/>
  <c r="G18" i="2"/>
  <c r="I18" i="2" s="1"/>
  <c r="I17" i="2"/>
  <c r="H17" i="2"/>
  <c r="G17" i="2"/>
  <c r="H16" i="2"/>
  <c r="G16" i="2"/>
  <c r="I16" i="2" s="1"/>
  <c r="I15" i="2"/>
  <c r="H15" i="2"/>
  <c r="G15" i="2"/>
  <c r="H14" i="2"/>
  <c r="G14" i="2"/>
  <c r="I14" i="2" s="1"/>
  <c r="I13" i="2"/>
  <c r="H13" i="2"/>
  <c r="G13" i="2"/>
  <c r="H12" i="2"/>
  <c r="G12" i="2"/>
  <c r="I12" i="2" s="1"/>
  <c r="I11" i="2"/>
  <c r="H11" i="2"/>
  <c r="G11" i="2"/>
  <c r="H10" i="2"/>
  <c r="G10" i="2"/>
  <c r="I10" i="2" s="1"/>
  <c r="I9" i="2"/>
  <c r="H9" i="2"/>
  <c r="G9" i="2"/>
  <c r="H8" i="2"/>
  <c r="G8" i="2"/>
  <c r="I8" i="2" s="1"/>
  <c r="I7" i="2"/>
  <c r="H7" i="2"/>
  <c r="G7" i="2"/>
  <c r="H6" i="2"/>
  <c r="G6" i="2"/>
  <c r="I6" i="2" s="1"/>
  <c r="I5" i="2"/>
  <c r="H5" i="2"/>
  <c r="G5" i="2"/>
  <c r="H4" i="2"/>
  <c r="G4" i="2"/>
  <c r="I4" i="2" s="1"/>
  <c r="I3" i="2"/>
  <c r="H3" i="2"/>
  <c r="G3" i="2"/>
  <c r="H2" i="2"/>
  <c r="G2" i="2"/>
  <c r="I2" i="2" s="1"/>
  <c r="A2" i="2"/>
  <c r="A40" i="2" s="1"/>
  <c r="D58" i="20" l="1"/>
  <c r="A3" i="2"/>
  <c r="A13" i="2"/>
  <c r="A15" i="2"/>
  <c r="A17" i="2"/>
  <c r="A19" i="2"/>
  <c r="A21" i="2"/>
  <c r="A23" i="2"/>
  <c r="A25" i="2"/>
  <c r="A27" i="2"/>
  <c r="A29" i="2"/>
  <c r="A31" i="2"/>
  <c r="A33" i="2"/>
  <c r="A35" i="2"/>
  <c r="A37" i="2"/>
  <c r="A39" i="2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<sst xmlns="http://schemas.openxmlformats.org/spreadsheetml/2006/main" count="2089" uniqueCount="344">
  <si>
    <t>Datos del año de referencia</t>
  </si>
  <si>
    <t>Field</t>
  </si>
  <si>
    <t>Datos</t>
  </si>
  <si>
    <t>Años de proyección</t>
  </si>
  <si>
    <t>Año de referencia (año de inicio de la proyección)</t>
  </si>
  <si>
    <t>Año final</t>
  </si>
  <si>
    <t>Datos poblacionales</t>
  </si>
  <si>
    <t>Población infantil menor de 5 años</t>
  </si>
  <si>
    <t>Porcentaje de población con inseguridad alimentaria (pobre por defecto)</t>
  </si>
  <si>
    <t>Porcentaje de población con riesgo de malaria</t>
  </si>
  <si>
    <t>Asistencia a la escuela (porcentaje de mujeres de 15 a 19 años)</t>
  </si>
  <si>
    <t>Porcentaje de mujeres embarazadas que acuden a un centro de salud</t>
  </si>
  <si>
    <t>Porcentaje de niños que acuden a un centro de salud</t>
  </si>
  <si>
    <t>Necesidad insatisfecha de planificación familiar</t>
  </si>
  <si>
    <t>Alimento</t>
  </si>
  <si>
    <t>Fracción de agricultura de subsistencia</t>
  </si>
  <si>
    <t>Fracción que consume arroz como principal alimento básico</t>
  </si>
  <si>
    <t>Fracción que consume trigo como principal alimento básico</t>
  </si>
  <si>
    <t>Fracción que consume maíz como principal alimento básico</t>
  </si>
  <si>
    <t>Fracción de otros alimentos básicos como alimento principal</t>
  </si>
  <si>
    <t>Distribución de edad de las mujeres embarazadas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</si>
  <si>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</si>
  <si>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</si>
  <si>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</si>
  <si>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</si>
  <si>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Espaciamiento entre los nacimientos</t>
  </si>
  <si>
    <t>El primer nacimiento</t>
  </si>
  <si>
    <t>menos de 18 meses</t>
  </si>
  <si>
    <t>18-23 meses</t>
  </si>
  <si>
    <t>24 meses o más</t>
  </si>
  <si>
    <t>Total (debe ser el 100%)</t>
  </si>
  <si>
    <t>Mortalidad y factores de riesgo en el año de referencia</t>
  </si>
  <si>
    <t>Mortalidad</t>
  </si>
  <si>
    <t>Mortalidad neonatal (por cada 1.000 nacidos vivos)</t>
  </si>
  <si>
    <t>Mortalidad infantil (por cada 1.000 nacidos vivos)</t>
  </si>
  <si>
    <t>Mortalidad de menores de 5 años (por cada 1.000 nacidos vivos)</t>
  </si>
  <si>
    <t>Mortalidad materna (por cada 1.000 nacidos vivos)</t>
  </si>
  <si>
    <t>Fracción de embarazos que terminan en aborto espontáneo</t>
  </si>
  <si>
    <t>Nacidos muertos (por cada 1.000 nacimientos totales)</t>
  </si>
  <si>
    <t>Distribución del desenlace del nacimiento</t>
  </si>
  <si>
    <t>Prematuro PEG (pequeño para la edad gestacional)</t>
  </si>
  <si>
    <t>Prematuro AEG (adecuado para edad gestacional)</t>
  </si>
  <si>
    <t>Nacido a término PEG (pequeño para la edad gestacional)</t>
  </si>
  <si>
    <t>Nacido a término AEG (Adecuado para la edad gestacional)</t>
  </si>
  <si>
    <t>Incidencia de la diarrea</t>
  </si>
  <si>
    <t>Promedio de episodios por año: &lt;1 mes</t>
  </si>
  <si>
    <t>Promedio de episodios por año: 1-5 meses</t>
  </si>
  <si>
    <t>Promedio de episodios por año: 6-11 meses</t>
  </si>
  <si>
    <t>Promedio de episodios por año: 12-23 meses</t>
  </si>
  <si>
    <t>Promedio de episodios por año: 24-59 meses</t>
  </si>
  <si>
    <t>Otros riesgos</t>
  </si>
  <si>
    <t>Porcentaje de diarrea grave</t>
  </si>
  <si>
    <t>Porcentaje de anemia que es deficiente en hierro</t>
  </si>
  <si>
    <t>Prevalencia de preeclampsia</t>
  </si>
  <si>
    <t>Prevalencia de eclampsia</t>
  </si>
  <si>
    <t>Bajo peso al nacer</t>
  </si>
  <si>
    <t>año</t>
  </si>
  <si>
    <t>Número de nacimientos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</si>
  <si>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</si>
  <si>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</si>
  <si>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</si>
  <si>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</si>
  <si>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Total mujeres en edad reproductiva</t>
  </si>
  <si>
    <t>Estimación de mujeres embarazadas</t>
  </si>
  <si>
    <t>mujeres en edad reproductiva no embarazadas</t>
  </si>
  <si>
    <t>Neonatal</t>
  </si>
  <si>
    <t>Causas</t>
  </si>
  <si>
    <t>&lt;1 mes</t>
  </si>
  <si>
    <t>Diarrea neonatal</t>
  </si>
  <si>
    <t>Sepsis neonatal</t>
  </si>
  <si>
    <t>Neumonía neonatal</t>
  </si>
  <si>
    <t>Asfixia neonatal</t>
  </si>
  <si>
    <t>Prematuridad neonatal</t>
  </si>
  <si>
    <t>Tétanos neonatal</t>
  </si>
  <si>
    <t>Anomalías congénitas neonatales</t>
  </si>
  <si>
    <t>Neonatal otros</t>
  </si>
  <si>
    <t>Niños</t>
  </si>
  <si>
    <t>1-5 meses</t>
  </si>
  <si>
    <t>6-11 meses</t>
  </si>
  <si>
    <t>12-23 meses</t>
  </si>
  <si>
    <t>24-59 meses</t>
  </si>
  <si>
    <t>Diarrea</t>
  </si>
  <si>
    <t>Neumonía</t>
  </si>
  <si>
    <t>Meningitis</t>
  </si>
  <si>
    <t>Sarampión</t>
  </si>
  <si>
    <t>Malaria</t>
  </si>
  <si>
    <t>Tosferina</t>
  </si>
  <si>
    <t>SIDA</t>
  </si>
  <si>
    <t>Lesión</t>
  </si>
  <si>
    <t>Otro</t>
  </si>
  <si>
    <t>Mujeres embarazadas</t>
  </si>
  <si>
    <t>Hemorragia pre-parto</t>
  </si>
  <si>
    <t>Hemorragia intraparto</t>
  </si>
  <si>
    <t>Hemorragia posparto</t>
  </si>
  <si>
    <t>Trastornos hipertensivos</t>
  </si>
  <si>
    <t>Sepsis</t>
  </si>
  <si>
    <t>Aborto</t>
  </si>
  <si>
    <t>Embolia</t>
  </si>
  <si>
    <t>Otras causas directas</t>
  </si>
  <si>
    <t>Causas indirectas</t>
  </si>
  <si>
    <t>Estado</t>
  </si>
  <si>
    <t>Retraso en el crecimiento (Talla para la edad)</t>
  </si>
  <si>
    <t>Normal (score HAZ &gt; -1)</t>
  </si>
  <si>
    <t>Leve (score HAZ entre -2 y -1)</t>
  </si>
  <si>
    <t>Moderado (score HAZ entre -3 y -2)</t>
  </si>
  <si>
    <t>Alto (puntuación HAZ &lt; -3)</t>
  </si>
  <si>
    <t>Emaciación (peso para la talla)</t>
  </si>
  <si>
    <t>Normal (score WHZ &gt; -1)</t>
  </si>
  <si>
    <t>Leve (score WHZ entre -2 y -1)</t>
  </si>
  <si>
    <t>MAM (puntuación WHZ entre -3 y -2)</t>
  </si>
  <si>
    <t>MAS (score WHZ &lt; -3)</t>
  </si>
  <si>
    <t>Anemia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</si>
  <si>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</si>
  <si>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</si>
  <si>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</si>
  <si>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</si>
  <si>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</si>
  <si>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</si>
  <si>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Lactancia materna</t>
  </si>
  <si>
    <t>Exclusivo</t>
  </si>
  <si>
    <t>Predominante</t>
  </si>
  <si>
    <t>Parcial</t>
  </si>
  <si>
    <t>Ninguno</t>
  </si>
  <si>
    <t>Riesgo</t>
  </si>
  <si>
    <t>Población</t>
  </si>
  <si>
    <t>Prevalencia del retraso del crecimiento (%)</t>
  </si>
  <si>
    <t>Niños de 0 a 59 meses</t>
  </si>
  <si>
    <t>Prevalencia de emaciación (%)</t>
  </si>
  <si>
    <t>Prevalencia de anemia (%)</t>
  </si>
  <si>
    <t>Mujeres en edad reproductiva</t>
  </si>
  <si>
    <t>Prevalencia de lactancia materna adecuada para la edad</t>
  </si>
  <si>
    <t>Niños de 0 a 5 meses</t>
  </si>
  <si>
    <t>Niños de 6 a 23 meses</t>
  </si>
  <si>
    <t>Menores de cinco años (muertes por cada 1.000 nacimientos)</t>
  </si>
  <si>
    <t>Materna (muertes por cada 1.000 nacimientos)</t>
  </si>
  <si>
    <t>Tipo</t>
  </si>
  <si>
    <t>Costo</t>
  </si>
  <si>
    <t>Episodio de emaciación infantil</t>
  </si>
  <si>
    <t>Niño que cumple 5 años con retraso en el crecimiento (a lo largo de su vida)</t>
  </si>
  <si>
    <t>Muerte del niño</t>
  </si>
  <si>
    <t>Muerte materna</t>
  </si>
  <si>
    <t>Niño anémico (por año)</t>
  </si>
  <si>
    <t>Mujer embarazada anémica (por embarazo)</t>
  </si>
  <si>
    <t>Paquete alimentación del lactante y del niño pequeño (IYCF)</t>
  </si>
  <si>
    <t>Población objetivo</t>
  </si>
  <si>
    <t>Centro de salud</t>
  </si>
  <si>
    <t>Comunidad</t>
  </si>
  <si>
    <t>Medios de comunicación masivos</t>
  </si>
  <si>
    <t>IYCF 1-alimentación del lactante y del niño pequeño</t>
  </si>
  <si>
    <t>Todo</t>
  </si>
  <si>
    <t>IYCF 2-alimentación del lactante y del niño pequeño</t>
  </si>
  <si>
    <t>x</t>
  </si>
  <si>
    <t>IYCF 3-alimentación del lactante y del niño pequeño</t>
  </si>
  <si>
    <t>Por defecto</t>
  </si>
  <si>
    <t>Extensión</t>
  </si>
  <si>
    <t>Añadir extensión</t>
  </si>
  <si>
    <t>Programa</t>
  </si>
  <si>
    <t>Tratamiento de la MAS</t>
  </si>
  <si>
    <t>Manejo de la Malnutrición Aguda Moderada (MAM)</t>
  </si>
  <si>
    <t>Método de entrega</t>
  </si>
  <si>
    <t>Basado en la comunidad</t>
  </si>
  <si>
    <t>Cobertura de saturación de la población objetivo</t>
  </si>
  <si>
    <t>Costo unitario (US$)</t>
  </si>
  <si>
    <t>Relación costo-cobertura</t>
  </si>
  <si>
    <t>Aumento máximo anual</t>
  </si>
  <si>
    <t>Disminución máxima anual</t>
  </si>
  <si>
    <t>Suplemento energético-proteico equilibrado</t>
  </si>
  <si>
    <t>Lineal (costo marginal constante) [por defecto]</t>
  </si>
  <si>
    <t>Suplemento con calcio</t>
  </si>
  <si>
    <t>Transferencias de efectivo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</si>
  <si>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</si>
  <si>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</si>
  <si>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</si>
  <si>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</si>
  <si>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</si>
  <si>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</si>
  <si>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</si>
  <si>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</si>
  <si>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</si>
  <si>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</si>
  <si>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</si>
  <si>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</si>
  <si>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</si>
  <si>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</si>
  <si>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Suplementos nutricionales a base de lípidos</t>
  </si>
  <si>
    <t>Mosquiteros tratados con insecticida de larga duración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</si>
  <si>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</si>
  <si>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</si>
  <si>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</si>
  <si>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</si>
  <si>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</si>
  <si>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</si>
  <si>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Suplementos nutricionales a base de lípidos en pequeñas cantidades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</si>
  <si>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</si>
  <si>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</si>
  <si>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</si>
  <si>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</si>
  <si>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</si>
  <si>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</si>
  <si>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</si>
  <si>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</si>
  <si>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Exclusión de intervención dependiente</t>
  </si>
  <si>
    <t>Dependencia de otra intervención</t>
  </si>
  <si>
    <t>Condición</t>
  </si>
  <si>
    <t>MAM</t>
  </si>
  <si>
    <t>SAM</t>
  </si>
  <si>
    <t>Amplio grupo de población</t>
  </si>
  <si>
    <t>Mujeres en edad reproductiva no embarazadas</t>
  </si>
  <si>
    <t>Población general</t>
  </si>
  <si>
    <t>Curva con costo marginal creciente</t>
  </si>
  <si>
    <t>Curva con costo marginal decreciente</t>
  </si>
  <si>
    <t>En forma de S (costo marginal decreciente y luego creciente)</t>
  </si>
  <si>
    <t>Método</t>
  </si>
  <si>
    <t>Efectividad</t>
  </si>
  <si>
    <t>Distribución</t>
  </si>
  <si>
    <t>Costo proporcional</t>
  </si>
  <si>
    <t>Preservativo/condón</t>
  </si>
  <si>
    <t>Esterilización masculina</t>
  </si>
  <si>
    <t>Esterilización femenina</t>
  </si>
  <si>
    <t>Inyectable</t>
  </si>
  <si>
    <t>Implante</t>
  </si>
  <si>
    <t>Cápsula/píldora</t>
  </si>
  <si>
    <t>Retiro</t>
  </si>
  <si>
    <t>Planificación Familiar Natural</t>
  </si>
  <si>
    <t>Dispositivo Intrauterino (DIU)</t>
  </si>
  <si>
    <t>Baja talla o retraso en el crecimiento</t>
  </si>
  <si>
    <t>Prevención de la emaciación</t>
  </si>
  <si>
    <t>Tratamiento de la emaciación</t>
  </si>
  <si>
    <t>Desenlaces del nacimiento</t>
  </si>
  <si>
    <t>Número de nacimiento</t>
  </si>
  <si>
    <t>Rango de edades</t>
  </si>
  <si>
    <t>Comportamiento</t>
  </si>
  <si>
    <t>Razón de momios para lactancia materna adecuada</t>
  </si>
  <si>
    <t>Razón de momios para baja talla o retraso en el crecimiento</t>
  </si>
  <si>
    <t>Razón de momios para alimentación complementaria correcta</t>
  </si>
  <si>
    <t>Límites inferiores</t>
  </si>
  <si>
    <t>Razón de momios para lactancia materna adecuada- inferior</t>
  </si>
  <si>
    <t>Razón de momios para baja talla - inferior</t>
  </si>
  <si>
    <t>Razón de momios para alimentación complementaria correcta - inferior</t>
  </si>
  <si>
    <t>Límites superiores</t>
  </si>
  <si>
    <t>Razón de momios para lactancia materna adecuada - superior</t>
  </si>
  <si>
    <t>Razón de momios para baja talla - superior</t>
  </si>
  <si>
    <t>Razón de momios para alimentación complementaria correcta - superior</t>
  </si>
  <si>
    <t>Factores de riesgo materno que conducen a los resultados del nacimiento</t>
  </si>
  <si>
    <t>Riesgo relativo según el espaciamiento de los nacimientos</t>
  </si>
  <si>
    <t>Razón de momios para mujeres con anemia materna</t>
  </si>
  <si>
    <t>Riesgos para los niños que experimentan desenlaces al nacimiento</t>
  </si>
  <si>
    <t>Razón de momios para las condiciones</t>
  </si>
  <si>
    <t>Retraso en el crecimiento (score HAZ &lt; -2)</t>
  </si>
  <si>
    <t>Riesgos relativos de las causas de muerte neonatal</t>
  </si>
  <si>
    <t>Riesgo relativo según el espaciamiento de los nacimientos-inferior</t>
  </si>
  <si>
    <t>Razón de momios para mujeres con anemia materna-inferior</t>
  </si>
  <si>
    <t>Razón de momios para las condiciones - inferior</t>
  </si>
  <si>
    <t>Retraso en el crecimiento (score HAZ &lt; -2)-Inferior</t>
  </si>
  <si>
    <t>MAM (puntuación WHZ entre -3 y -2)-inferior</t>
  </si>
  <si>
    <t>MAS (score WHZ &lt; -3)-Inferior</t>
  </si>
  <si>
    <t>Riesgos relativos de las causas de muerte neonatal - inferior</t>
  </si>
  <si>
    <t>Riesgo relativo según el espaciamiento de los nacimientos - superior</t>
  </si>
  <si>
    <t>Razón de momios para mujeres con anemia materna-superior</t>
  </si>
  <si>
    <t>Razón de momios para las condiciones - superior</t>
  </si>
  <si>
    <t>Retraso en el crecimiento (score HAZ &lt; -2)-superior</t>
  </si>
  <si>
    <t>MAM (puntuación WHZ entre -3 y -2)-superior</t>
  </si>
  <si>
    <t>MAS (score WHZ &lt; -3)-superior</t>
  </si>
  <si>
    <t>Riesgos relativos de las causas de muerte neonatal - superior</t>
  </si>
  <si>
    <t>Riesgo relativo de las causas de muerte según la distribución de talla para la edad (retraso en el crecimiento)</t>
  </si>
  <si>
    <t>Causa de muerte</t>
  </si>
  <si>
    <t>Estado de HAZ (baja talla)</t>
  </si>
  <si>
    <t>Normal</t>
  </si>
  <si>
    <t>Leve</t>
  </si>
  <si>
    <t>Moderado</t>
  </si>
  <si>
    <t>Alto</t>
  </si>
  <si>
    <t>Riesgo relativo de las causas de muerte según la distribución del peso para la talla (emaciación)</t>
  </si>
  <si>
    <t>Emaciación</t>
  </si>
  <si>
    <t>Estado de la peso para la talla (WHZ)</t>
  </si>
  <si>
    <t>MAS</t>
  </si>
  <si>
    <t>Riesgo relativo de las causas de muerte según el estado de la anemia</t>
  </si>
  <si>
    <t>Estado de anemia</t>
  </si>
  <si>
    <t>No anémico</t>
  </si>
  <si>
    <t>Anémico</t>
  </si>
  <si>
    <t>Riesgo relativo de las causas de muerte según el estado de la lactancia materna</t>
  </si>
  <si>
    <t>Situación de lactancia materna</t>
  </si>
  <si>
    <t>Riesgos relativos de sufrir diarrea según el estado de la lactancia materna</t>
  </si>
  <si>
    <t>Razón de momios de baja talla o retraso en el crecimiento</t>
  </si>
  <si>
    <t>Dada la baja talla previa  (HAZ &lt; -2 en la banda de edad anterior)</t>
  </si>
  <si>
    <t>N/A</t>
  </si>
  <si>
    <t>Diarrea (por episodio adicional)</t>
  </si>
  <si>
    <t>Por programa</t>
  </si>
  <si>
    <t>Razón de momios de lactancia materna adecuada por programa</t>
  </si>
  <si>
    <t>Otras razones de momios</t>
  </si>
  <si>
    <t>Para MAS por episodio adicional de diarrea</t>
  </si>
  <si>
    <t>Para MAM por episodio adicional de diarrea</t>
  </si>
  <si>
    <t>Para anemia por episodio adicional de diarrea grave</t>
  </si>
  <si>
    <t>Razón de momios para el espaciamiento óptimo de los nacimientos por programa</t>
  </si>
  <si>
    <t>Dada a baja talla previa (HAZ &lt; -2 en la banda de edad anterior) - inferior</t>
  </si>
  <si>
    <t>Diarrea (por episodio adicional) - inferior</t>
  </si>
  <si>
    <t>Por programa - inferior</t>
  </si>
  <si>
    <t>Suministro público de alimentos complementarios - inferior</t>
  </si>
  <si>
    <t>Suplementos nutricionales a base de lípidos: más bajos</t>
  </si>
  <si>
    <t>Suplementos nutricionales a base de lípidos en pequeñas cantidades: lower</t>
  </si>
  <si>
    <t>Suplementación con zinc - inferior</t>
  </si>
  <si>
    <t>Razón de momios de lactancia materna adecuada por programa - inferior</t>
  </si>
  <si>
    <t>Método madre canguro - inferior</t>
  </si>
  <si>
    <t>Para MAS por episodio adicional de diarrea - inferior</t>
  </si>
  <si>
    <t>Para MAM por episodio adicional de diarrea - inferior</t>
  </si>
  <si>
    <t>Para anemia por episodio adicional de diarrea grave - inferior</t>
  </si>
  <si>
    <t>Razón de momios para el espaciamiento óptimo de los nacimientos por programa - inferior</t>
  </si>
  <si>
    <t>Planificación familiar - más baja</t>
  </si>
  <si>
    <t>Dada la baja talla previa (HAZ &lt; -2 en la banda de edad anterior) - superior</t>
  </si>
  <si>
    <t>Diarrea (por episodio adicional) - superior</t>
  </si>
  <si>
    <t>Por programa - superior</t>
  </si>
  <si>
    <t>Suministro público de alimentos complementarios - superior</t>
  </si>
  <si>
    <t>Suplementos nutricionales a base de lípidos - superior</t>
  </si>
  <si>
    <t>Suplementos nutricionales a base de lípidos en pequeñas cantidades - superior</t>
  </si>
  <si>
    <t>Suplementación con zinc- superior</t>
  </si>
  <si>
    <t>Razón de momios de lactancia materna adecuada por programa - superior</t>
  </si>
  <si>
    <t>Método madre canguro - superior</t>
  </si>
  <si>
    <t>Para MAS por episodio adicional de diarrea - superior</t>
  </si>
  <si>
    <t>Para MAM por episodio adicional de diarrea - superior</t>
  </si>
  <si>
    <t>Para anemia por episodio adicional de diarrea grave - superior</t>
  </si>
  <si>
    <t>Razón de momios para el espaciamiento óptimo de los nacimientos por programa - superior</t>
  </si>
  <si>
    <t>Planificación familiar - superior</t>
  </si>
  <si>
    <t>efectividad</t>
  </si>
  <si>
    <t>fracción afectada</t>
  </si>
  <si>
    <t>Riesgos relativos de anemia cuando está cubierto por la intervención</t>
  </si>
  <si>
    <t>Razón de momios de ser anémico cuando está cubierto por la intervención</t>
  </si>
  <si>
    <t>Riesgos relativos de anemia cuando está cubierto por la intervención - inferior</t>
  </si>
  <si>
    <t>Razón de momios de ser anémico cuando está cubierto por la intervención-menor</t>
  </si>
  <si>
    <t>Riesgos relativos de anemia cuando está cubierto por la intervención - superior</t>
  </si>
  <si>
    <t>Razón de momios de ser anémico cuando está cubierto por la intervención - superior</t>
  </si>
  <si>
    <t>Razón de momios de MAS cuando está cubierto por el programa</t>
  </si>
  <si>
    <t>Razón de momios de MAM cuando está cubierto por el programa</t>
  </si>
  <si>
    <t>Límite inferior</t>
  </si>
  <si>
    <t>Razón de momios de MAS cuando está cubierto por el programa - inferior</t>
  </si>
  <si>
    <t>Razón de momios de MAM cuando está cubierto por el programa - inferior</t>
  </si>
  <si>
    <t>Límite superior</t>
  </si>
  <si>
    <t>Razón de momios de MAS cuando está cubierto por el programa - superior</t>
  </si>
  <si>
    <t>Razón de momios de MAM cuando está cubierto por el programaa - superior</t>
  </si>
  <si>
    <t>Condición objetivo</t>
  </si>
  <si>
    <t>Outcome</t>
  </si>
  <si>
    <t>Fracción afectada</t>
  </si>
  <si>
    <t>Efectividad en mortalidad</t>
  </si>
  <si>
    <t>Efectividad en incidencia</t>
  </si>
  <si>
    <t>Malnutrición Aguda Severa (MAS)</t>
  </si>
  <si>
    <t>Malnutrición aguda moderada (MAM)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</si>
</sst>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0" fontId="7" fillId="0" borderId="0" xfId="0" applyFont="1" applyAlignment="1">
      <alignment horizontal="center" vertical="center"/>
    </xf>
    <xf numFmtId="43" fontId="4" fillId="0" borderId="0" xfId="0" applyNumberFormat="1" applyFont="1"/>
    <xf numFmtId="164" fontId="4" fillId="0" borderId="0" xfId="0" applyNumberFormat="1" applyFont="1"/>
    <xf numFmtId="168" fontId="4" fillId="2" borderId="1" xfId="0" applyNumberFormat="1" applyFont="1" applyFill="1" applyBorder="1" applyProtection="1">
      <protection locked="0"/>
    </xf>
    <xf numFmtId="164" fontId="4" fillId="2" borderId="1" xfId="0" applyNumberFormat="1" applyFont="1" applyFill="1" applyBorder="1" applyProtection="1">
      <protection locked="0"/>
    </xf>
    <xf numFmtId="164" fontId="8" fillId="3" borderId="1" xfId="0" applyNumberFormat="1" applyFont="1" applyFill="1" applyBorder="1"/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4" fillId="0" borderId="0" xfId="0" applyNumberFormat="1" applyFont="1"/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14" fillId="3" borderId="4" xfId="0" applyNumberFormat="1" applyFont="1" applyFill="1" applyBorder="1"/>
    <xf numFmtId="166" fontId="4" fillId="2" borderId="1" xfId="0" applyNumberFormat="1" applyFont="1" applyFill="1" applyBorder="1" applyAlignment="1">
      <alignment horizontal="right" vertical="center"/>
    </xf>
    <xf numFmtId="165" fontId="8" fillId="3" borderId="1" xfId="0" applyNumberFormat="1" applyFont="1" applyFill="1" applyBorder="1" applyAlignment="1">
      <alignment horizontal="right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/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10" zoomScaleNormal="100" workbookViewId="0">
      <selection activeCell="C29" sqref="C29:C32"/>
    </sheetView>
  </sheetViews>
  <sheetFormatPr defaultColWidth="14.453125" defaultRowHeight="15.75" customHeight="1" x14ac:dyDescent="0.25"/>
  <cols>
    <col min="1" max="1" width="27.6328125" style="97" customWidth="1"/>
    <col min="2" max="2" width="38.6328125" style="22" customWidth="1"/>
    <col min="3" max="3" width="14.453125" style="97" customWidth="1"/>
    <col min="4" max="16384" width="14.453125" style="97"/>
  </cols>
  <sheetData>
    <row r="1" spans="1:3" ht="15.9" customHeight="1" x14ac:dyDescent="0.3">
      <c r="A1" s="1" t="s">
        <v>0</v>
      </c>
      <c r="B1" s="21" t="s">
        <v>1</v>
      </c>
      <c r="C1" s="21" t="s">
        <v>2</v>
      </c>
    </row>
    <row r="2" spans="1:3" ht="15.9" customHeight="1" x14ac:dyDescent="0.3">
      <c r="A2" s="97" t="s">
        <v>3</v>
      </c>
      <c r="B2" s="21"/>
      <c r="C2" s="21"/>
    </row>
    <row r="3" spans="1:3" ht="15.9" customHeight="1" x14ac:dyDescent="0.3">
      <c r="A3" s="1"/>
      <c r="B3" s="7" t="s">
        <v>4</v>
      </c>
      <c r="C3" s="35">
        <v>2021</v>
      </c>
    </row>
    <row r="4" spans="1:3" ht="15.9" customHeight="1" x14ac:dyDescent="0.3">
      <c r="A4" s="1"/>
      <c r="B4" s="7" t="s">
        <v>5</v>
      </c>
      <c r="C4" s="36">
        <v>2030</v>
      </c>
    </row>
    <row r="5" spans="1:3" ht="15.9" customHeight="1" x14ac:dyDescent="0.3">
      <c r="A5" s="1"/>
      <c r="B5" s="21"/>
      <c r="C5" s="21"/>
    </row>
    <row r="6" spans="1:3" ht="15" customHeight="1" x14ac:dyDescent="0.25">
      <c r="A6" s="97" t="s">
        <v>6</v>
      </c>
    </row>
    <row r="7" spans="1:3" ht="15" customHeight="1" x14ac:dyDescent="0.25">
      <c r="B7" s="22" t="s">
        <v>7</v>
      </c>
      <c r="C7" s="37">
        <v>269965.20703125</v>
      </c>
    </row>
    <row r="8" spans="1:3" ht="15" customHeight="1" x14ac:dyDescent="0.25">
      <c r="B8" s="7" t="s">
        <v>8</v>
      </c>
      <c r="C8" s="38">
        <v>0.161</v>
      </c>
    </row>
    <row r="9" spans="1:3" ht="15" customHeight="1" x14ac:dyDescent="0.25">
      <c r="B9" s="7" t="s">
        <v>9</v>
      </c>
      <c r="C9" s="39">
        <v>0.13</v>
      </c>
    </row>
    <row r="10" spans="1:3" ht="15" customHeight="1" x14ac:dyDescent="0.25">
      <c r="B10" s="7" t="s">
        <v>10</v>
      </c>
      <c r="C10" s="39">
        <v>0.32603321079999997</v>
      </c>
    </row>
    <row r="11" spans="1:3" ht="15" customHeight="1" x14ac:dyDescent="0.25">
      <c r="B11" s="7" t="s">
        <v>11</v>
      </c>
      <c r="C11" s="38">
        <v>0.73299999999999998</v>
      </c>
    </row>
    <row r="12" spans="1:3" ht="15" customHeight="1" x14ac:dyDescent="0.25">
      <c r="B12" s="7" t="s">
        <v>12</v>
      </c>
      <c r="C12" s="38">
        <v>0.14000000000000001</v>
      </c>
    </row>
    <row r="13" spans="1:3" ht="15" customHeight="1" x14ac:dyDescent="0.25">
      <c r="B13" s="7" t="s">
        <v>13</v>
      </c>
      <c r="C13" s="38">
        <v>0.52200000000000002</v>
      </c>
    </row>
    <row r="14" spans="1:3" ht="15" customHeight="1" x14ac:dyDescent="0.25">
      <c r="B14" s="97"/>
    </row>
    <row r="15" spans="1:3" ht="15" customHeight="1" x14ac:dyDescent="0.3">
      <c r="A15" s="97" t="s">
        <v>14</v>
      </c>
      <c r="B15" s="9"/>
      <c r="C15" s="4"/>
    </row>
    <row r="16" spans="1:3" ht="15" customHeight="1" x14ac:dyDescent="0.25">
      <c r="B16" s="7" t="s">
        <v>15</v>
      </c>
      <c r="C16" s="39">
        <v>0.1</v>
      </c>
    </row>
    <row r="17" spans="1:3" ht="15" customHeight="1" x14ac:dyDescent="0.25">
      <c r="B17" s="7" t="s">
        <v>16</v>
      </c>
      <c r="C17" s="39">
        <v>0.7</v>
      </c>
    </row>
    <row r="18" spans="1:3" ht="15" customHeight="1" x14ac:dyDescent="0.25">
      <c r="B18" s="7" t="s">
        <v>17</v>
      </c>
      <c r="C18" s="39">
        <v>0.05</v>
      </c>
    </row>
    <row r="19" spans="1:3" ht="15" customHeight="1" x14ac:dyDescent="0.25">
      <c r="B19" s="7" t="s">
        <v>18</v>
      </c>
      <c r="C19" s="39">
        <v>0.05</v>
      </c>
    </row>
    <row r="20" spans="1:3" ht="15" customHeight="1" x14ac:dyDescent="0.25">
      <c r="B20" s="7" t="s">
        <v>19</v>
      </c>
      <c r="C20" s="40"/>
    </row>
    <row r="21" spans="1:3" ht="15" customHeight="1" x14ac:dyDescent="0.25">
      <c r="B21" s="97"/>
    </row>
    <row r="22" spans="1:3" ht="15" customHeight="1" x14ac:dyDescent="0.25">
      <c r="A22" s="97" t="s">
        <v>20</v>
      </c>
    </row>
    <row r="23" spans="1:3" ht="15" customHeight="1" x14ac:dyDescent="0.25">
      <c r="B23" s="10" t="s">
        <v>21</v>
      </c>
      <c r="C23" s="39">
        <v>8.2100000000000006E-2</v>
      </c>
    </row>
    <row r="24" spans="1:3" ht="15" customHeight="1" x14ac:dyDescent="0.25">
      <c r="B24" s="10" t="s">
        <v>22</v>
      </c>
      <c r="C24" s="39">
        <v>0.47039999999999998</v>
      </c>
    </row>
    <row r="25" spans="1:3" ht="15" customHeight="1" x14ac:dyDescent="0.25">
      <c r="B25" s="10" t="s">
        <v>23</v>
      </c>
      <c r="C25" s="39">
        <v>0.35039999999999999</v>
      </c>
    </row>
    <row r="26" spans="1:3" ht="15" customHeight="1" x14ac:dyDescent="0.25">
      <c r="B26" s="10" t="s">
        <v>24</v>
      </c>
      <c r="C26" s="39">
        <v>9.7100000000000006E-2</v>
      </c>
    </row>
    <row r="27" spans="1:3" ht="15" customHeight="1" x14ac:dyDescent="0.25">
      <c r="B27" s="10"/>
      <c r="C27" s="10"/>
    </row>
    <row r="28" spans="1:3" ht="15" customHeight="1" x14ac:dyDescent="0.25">
      <c r="A28" s="97" t="s">
        <v>25</v>
      </c>
      <c r="B28" s="10"/>
      <c r="C28" s="10"/>
    </row>
    <row r="29" spans="1:3" ht="14.25" customHeight="1" x14ac:dyDescent="0.25">
      <c r="B29" s="16" t="s">
        <v>26</v>
      </c>
      <c r="C29" s="39">
        <v>0.35675533525383901</v>
      </c>
    </row>
    <row r="30" spans="1:3" ht="14.25" customHeight="1" x14ac:dyDescent="0.25">
      <c r="B30" s="16" t="s">
        <v>27</v>
      </c>
      <c r="C30" s="102">
        <v>6.5910586704521698E-2</v>
      </c>
    </row>
    <row r="31" spans="1:3" ht="14.25" customHeight="1" x14ac:dyDescent="0.25">
      <c r="B31" s="16" t="s">
        <v>28</v>
      </c>
      <c r="C31" s="102">
        <v>9.262041217609189E-2</v>
      </c>
    </row>
    <row r="32" spans="1:3" ht="14.25" customHeight="1" x14ac:dyDescent="0.25">
      <c r="B32" s="16" t="s">
        <v>29</v>
      </c>
      <c r="C32" s="102">
        <v>0.48471366586554798</v>
      </c>
    </row>
    <row r="33" spans="1:5" ht="13" customHeight="1" x14ac:dyDescent="0.25">
      <c r="B33" s="18" t="s">
        <v>30</v>
      </c>
      <c r="C33" s="41"/>
    </row>
    <row r="34" spans="1:5" ht="15" customHeight="1" x14ac:dyDescent="0.25"/>
    <row r="35" spans="1:5" ht="15" customHeight="1" x14ac:dyDescent="0.3">
      <c r="A35" s="31" t="s">
        <v>31</v>
      </c>
    </row>
    <row r="36" spans="1:5" ht="15" customHeight="1" x14ac:dyDescent="0.25">
      <c r="A36" s="97" t="s">
        <v>32</v>
      </c>
      <c r="B36" s="7"/>
    </row>
    <row r="37" spans="1:5" ht="15" customHeight="1" x14ac:dyDescent="0.25">
      <c r="B37" s="22" t="s">
        <v>33</v>
      </c>
      <c r="C37" s="37">
        <v>17.9214288865677</v>
      </c>
    </row>
    <row r="38" spans="1:5" ht="15" customHeight="1" x14ac:dyDescent="0.25">
      <c r="B38" s="22" t="s">
        <v>34</v>
      </c>
      <c r="C38" s="37">
        <v>32.255544840542598</v>
      </c>
      <c r="D38" s="104"/>
      <c r="E38" s="105"/>
    </row>
    <row r="39" spans="1:5" ht="15" customHeight="1" x14ac:dyDescent="0.25">
      <c r="B39" s="22" t="s">
        <v>35</v>
      </c>
      <c r="C39" s="37">
        <v>41.596757050483902</v>
      </c>
      <c r="D39" s="104"/>
      <c r="E39" s="104"/>
    </row>
    <row r="40" spans="1:5" ht="15" customHeight="1" x14ac:dyDescent="0.25">
      <c r="B40" s="22" t="s">
        <v>36</v>
      </c>
      <c r="C40" s="106">
        <v>1.44</v>
      </c>
    </row>
    <row r="41" spans="1:5" ht="15" customHeight="1" x14ac:dyDescent="0.25">
      <c r="B41" s="22" t="s">
        <v>37</v>
      </c>
      <c r="C41" s="39">
        <v>0.12</v>
      </c>
    </row>
    <row r="42" spans="1:5" ht="15" customHeight="1" x14ac:dyDescent="0.25">
      <c r="B42" s="22" t="s">
        <v>38</v>
      </c>
      <c r="C42" s="37">
        <v>15.228842</v>
      </c>
    </row>
    <row r="43" spans="1:5" ht="15.75" customHeight="1" x14ac:dyDescent="0.25">
      <c r="D43" s="104"/>
    </row>
    <row r="44" spans="1:5" ht="15.75" customHeight="1" x14ac:dyDescent="0.25">
      <c r="A44" s="97" t="s">
        <v>39</v>
      </c>
      <c r="D44" s="104"/>
    </row>
    <row r="45" spans="1:5" ht="15.75" customHeight="1" x14ac:dyDescent="0.25">
      <c r="B45" s="22" t="s">
        <v>40</v>
      </c>
      <c r="C45" s="39">
        <v>2.4154999999999999E-2</v>
      </c>
      <c r="D45" s="104"/>
    </row>
    <row r="46" spans="1:5" ht="15.75" customHeight="1" x14ac:dyDescent="0.25">
      <c r="B46" s="22" t="s">
        <v>41</v>
      </c>
      <c r="C46" s="39">
        <v>0.12658530000000001</v>
      </c>
      <c r="D46" s="104"/>
    </row>
    <row r="47" spans="1:5" ht="15.75" customHeight="1" x14ac:dyDescent="0.25">
      <c r="B47" s="22" t="s">
        <v>42</v>
      </c>
      <c r="C47" s="39">
        <v>0.17957029999999999</v>
      </c>
      <c r="D47" s="104"/>
      <c r="E47" s="105"/>
    </row>
    <row r="48" spans="1:5" ht="15" customHeight="1" x14ac:dyDescent="0.25">
      <c r="B48" s="22" t="s">
        <v>43</v>
      </c>
      <c r="C48" s="40">
        <v>0.66968939999999999</v>
      </c>
      <c r="D48" s="104"/>
      <c r="E48" s="104"/>
    </row>
    <row r="49" spans="1:4" ht="15.75" customHeight="1" x14ac:dyDescent="0.25">
      <c r="D49" s="104"/>
    </row>
    <row r="50" spans="1:4" ht="15.75" customHeight="1" x14ac:dyDescent="0.25">
      <c r="A50" s="97" t="s">
        <v>44</v>
      </c>
      <c r="D50" s="104"/>
    </row>
    <row r="51" spans="1:4" ht="15.75" customHeight="1" x14ac:dyDescent="0.25">
      <c r="B51" s="22" t="s">
        <v>45</v>
      </c>
      <c r="C51" s="42">
        <v>3.3</v>
      </c>
      <c r="D51" s="104"/>
    </row>
    <row r="52" spans="1:4" ht="15" customHeight="1" x14ac:dyDescent="0.25">
      <c r="B52" s="22" t="s">
        <v>46</v>
      </c>
      <c r="C52" s="42">
        <v>3.3</v>
      </c>
    </row>
    <row r="53" spans="1:4" ht="15.75" customHeight="1" x14ac:dyDescent="0.25">
      <c r="B53" s="22" t="s">
        <v>47</v>
      </c>
      <c r="C53" s="42">
        <v>3.3</v>
      </c>
    </row>
    <row r="54" spans="1:4" ht="15.75" customHeight="1" x14ac:dyDescent="0.25">
      <c r="B54" s="22" t="s">
        <v>48</v>
      </c>
      <c r="C54" s="42">
        <v>3.3</v>
      </c>
    </row>
    <row r="55" spans="1:4" ht="15.75" customHeight="1" x14ac:dyDescent="0.25">
      <c r="B55" s="22" t="s">
        <v>49</v>
      </c>
      <c r="C55" s="42">
        <v>3.3</v>
      </c>
    </row>
    <row r="57" spans="1:4" ht="15.75" customHeight="1" x14ac:dyDescent="0.25">
      <c r="A57" s="97" t="s">
        <v>50</v>
      </c>
    </row>
    <row r="58" spans="1:4" ht="15.75" customHeight="1" x14ac:dyDescent="0.25">
      <c r="B58" s="7" t="s">
        <v>51</v>
      </c>
      <c r="C58" s="38">
        <v>2.181818181818182E-2</v>
      </c>
    </row>
    <row r="59" spans="1:4" ht="15.75" customHeight="1" x14ac:dyDescent="0.25">
      <c r="B59" s="22" t="s">
        <v>52</v>
      </c>
      <c r="C59" s="38">
        <v>0.53242699999999998</v>
      </c>
    </row>
    <row r="60" spans="1:4" ht="15.75" customHeight="1" x14ac:dyDescent="0.25">
      <c r="B60" s="22" t="s">
        <v>53</v>
      </c>
      <c r="C60" s="38">
        <v>4.5999999999999999E-2</v>
      </c>
    </row>
    <row r="61" spans="1:4" ht="15.75" customHeight="1" x14ac:dyDescent="0.25">
      <c r="B61" s="22" t="s">
        <v>54</v>
      </c>
      <c r="C61" s="38">
        <v>1.4E-2</v>
      </c>
    </row>
    <row r="62" spans="1:4" ht="15.75" customHeight="1" x14ac:dyDescent="0.25">
      <c r="B62" s="22" t="s">
        <v>55</v>
      </c>
      <c r="C62" s="38">
        <v>0.15632107000000001</v>
      </c>
    </row>
    <row r="63" spans="1:4" ht="15.75" customHeight="1" x14ac:dyDescent="0.3">
      <c r="A63" s="31"/>
    </row>
  </sheetData>
  <sheetProtection algorithmName="SHA-512" hashValue="vpMF26Kum+8K1vIJlyTRrlbYMXFj7flI1ZiSJ7WOolVAtTs16lXANzp5XM9cvuCqOp8hGXO/8DTDetBMQ06Kfw==" saltValue="8FZmlpfUXt+Ox9B0OVfWF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2" sqref="B2:F15"/>
    </sheetView>
  </sheetViews>
  <sheetFormatPr defaultColWidth="14.453125" defaultRowHeight="15.75" customHeight="1" x14ac:dyDescent="0.25"/>
  <cols>
    <col min="1" max="1" width="8.453125" style="97" customWidth="1"/>
    <col min="2" max="9" width="16.90625" style="97" customWidth="1"/>
    <col min="10" max="10" width="14.453125" style="97" customWidth="1"/>
    <col min="11" max="16384" width="14.453125" style="97"/>
  </cols>
  <sheetData>
    <row r="1" spans="1:9" s="11" customFormat="1" ht="30" customHeight="1" x14ac:dyDescent="0.3">
      <c r="A1" s="17" t="s">
        <v>56</v>
      </c>
      <c r="B1" s="14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</row>
    <row r="2" spans="1:9" ht="15.75" customHeight="1" x14ac:dyDescent="0.25">
      <c r="A2" s="7">
        <f>start_year</f>
        <v>2021</v>
      </c>
      <c r="B2" s="43">
        <v>52125.652800000003</v>
      </c>
      <c r="C2" s="107">
        <v>108000</v>
      </c>
      <c r="D2" s="107">
        <v>214000</v>
      </c>
      <c r="E2" s="107">
        <v>208000</v>
      </c>
      <c r="F2" s="107">
        <v>148000</v>
      </c>
      <c r="G2" s="108">
        <f t="shared" ref="G2:G16" si="0">C2+D2+E2+F2</f>
        <v>678000</v>
      </c>
      <c r="H2" s="108">
        <f t="shared" ref="H2:H40" si="1">(B2 + stillbirth*B2/(1000-stillbirth))/(1-abortion)</f>
        <v>60149.706743986877</v>
      </c>
      <c r="I2" s="108">
        <f t="shared" ref="I2:I40" si="2">G2-H2</f>
        <v>617850.29325601307</v>
      </c>
    </row>
    <row r="3" spans="1:9" ht="15.75" customHeight="1" x14ac:dyDescent="0.25">
      <c r="A3" s="7">
        <f t="shared" ref="A3:A40" si="3">IF($A$2+ROW(A3)-2&lt;=end_year,A2+1,"")</f>
        <v>2022</v>
      </c>
      <c r="B3" s="43">
        <v>51914.128200000006</v>
      </c>
      <c r="C3" s="107">
        <v>109000</v>
      </c>
      <c r="D3" s="107">
        <v>215000</v>
      </c>
      <c r="E3" s="107">
        <v>210000</v>
      </c>
      <c r="F3" s="107">
        <v>156000</v>
      </c>
      <c r="G3" s="108">
        <f t="shared" si="0"/>
        <v>690000</v>
      </c>
      <c r="H3" s="108">
        <f t="shared" si="1"/>
        <v>59905.620733055635</v>
      </c>
      <c r="I3" s="108">
        <f t="shared" si="2"/>
        <v>630094.37926694436</v>
      </c>
    </row>
    <row r="4" spans="1:9" ht="15.75" customHeight="1" x14ac:dyDescent="0.25">
      <c r="A4" s="7">
        <f t="shared" si="3"/>
        <v>2023</v>
      </c>
      <c r="B4" s="43">
        <v>51626.366400000014</v>
      </c>
      <c r="C4" s="107">
        <v>111000</v>
      </c>
      <c r="D4" s="107">
        <v>215000</v>
      </c>
      <c r="E4" s="107">
        <v>211000</v>
      </c>
      <c r="F4" s="107">
        <v>164000</v>
      </c>
      <c r="G4" s="108">
        <f t="shared" si="0"/>
        <v>701000</v>
      </c>
      <c r="H4" s="108">
        <f t="shared" si="1"/>
        <v>59573.56181480029</v>
      </c>
      <c r="I4" s="108">
        <f t="shared" si="2"/>
        <v>641426.43818519975</v>
      </c>
    </row>
    <row r="5" spans="1:9" ht="15.75" customHeight="1" x14ac:dyDescent="0.25">
      <c r="A5" s="7">
        <f t="shared" si="3"/>
        <v>2024</v>
      </c>
      <c r="B5" s="43">
        <v>51324.739200000004</v>
      </c>
      <c r="C5" s="107">
        <v>112000</v>
      </c>
      <c r="D5" s="107">
        <v>215000</v>
      </c>
      <c r="E5" s="107">
        <v>211000</v>
      </c>
      <c r="F5" s="107">
        <v>172000</v>
      </c>
      <c r="G5" s="108">
        <f t="shared" si="0"/>
        <v>710000</v>
      </c>
      <c r="H5" s="108">
        <f t="shared" si="1"/>
        <v>59225.503101835646</v>
      </c>
      <c r="I5" s="108">
        <f t="shared" si="2"/>
        <v>650774.49689816439</v>
      </c>
    </row>
    <row r="6" spans="1:9" ht="15.75" customHeight="1" x14ac:dyDescent="0.25">
      <c r="A6" s="7">
        <f t="shared" si="3"/>
        <v>2025</v>
      </c>
      <c r="B6" s="43">
        <v>50949.474000000002</v>
      </c>
      <c r="C6" s="107">
        <v>114000</v>
      </c>
      <c r="D6" s="107">
        <v>216000</v>
      </c>
      <c r="E6" s="107">
        <v>212000</v>
      </c>
      <c r="F6" s="107">
        <v>178000</v>
      </c>
      <c r="G6" s="108">
        <f t="shared" si="0"/>
        <v>720000</v>
      </c>
      <c r="H6" s="108">
        <f t="shared" si="1"/>
        <v>58792.470793965469</v>
      </c>
      <c r="I6" s="108">
        <f t="shared" si="2"/>
        <v>661207.52920603449</v>
      </c>
    </row>
    <row r="7" spans="1:9" ht="15.75" customHeight="1" x14ac:dyDescent="0.25">
      <c r="A7" s="7">
        <f t="shared" si="3"/>
        <v>2026</v>
      </c>
      <c r="B7" s="43">
        <v>50817.1538</v>
      </c>
      <c r="C7" s="107">
        <v>117000</v>
      </c>
      <c r="D7" s="107">
        <v>217000</v>
      </c>
      <c r="E7" s="107">
        <v>212000</v>
      </c>
      <c r="F7" s="107">
        <v>184000</v>
      </c>
      <c r="G7" s="108">
        <f t="shared" si="0"/>
        <v>730000</v>
      </c>
      <c r="H7" s="108">
        <f t="shared" si="1"/>
        <v>58639.781651503428</v>
      </c>
      <c r="I7" s="108">
        <f t="shared" si="2"/>
        <v>671360.21834849659</v>
      </c>
    </row>
    <row r="8" spans="1:9" ht="15.75" customHeight="1" x14ac:dyDescent="0.25">
      <c r="A8" s="7">
        <f t="shared" si="3"/>
        <v>2027</v>
      </c>
      <c r="B8" s="43">
        <v>50620.957999999991</v>
      </c>
      <c r="C8" s="107">
        <v>119000</v>
      </c>
      <c r="D8" s="107">
        <v>218000</v>
      </c>
      <c r="E8" s="107">
        <v>214000</v>
      </c>
      <c r="F8" s="107">
        <v>190000</v>
      </c>
      <c r="G8" s="108">
        <f t="shared" si="0"/>
        <v>741000</v>
      </c>
      <c r="H8" s="108">
        <f t="shared" si="1"/>
        <v>58413.384106331534</v>
      </c>
      <c r="I8" s="108">
        <f t="shared" si="2"/>
        <v>682586.6158936685</v>
      </c>
    </row>
    <row r="9" spans="1:9" ht="15.75" customHeight="1" x14ac:dyDescent="0.25">
      <c r="A9" s="7">
        <f t="shared" si="3"/>
        <v>2028</v>
      </c>
      <c r="B9" s="43">
        <v>50399.868599999987</v>
      </c>
      <c r="C9" s="107">
        <v>122000</v>
      </c>
      <c r="D9" s="107">
        <v>219000</v>
      </c>
      <c r="E9" s="107">
        <v>214000</v>
      </c>
      <c r="F9" s="107">
        <v>195000</v>
      </c>
      <c r="G9" s="108">
        <f t="shared" si="0"/>
        <v>750000</v>
      </c>
      <c r="H9" s="108">
        <f t="shared" si="1"/>
        <v>58158.260921107765</v>
      </c>
      <c r="I9" s="108">
        <f t="shared" si="2"/>
        <v>691841.73907889228</v>
      </c>
    </row>
    <row r="10" spans="1:9" ht="15.75" customHeight="1" x14ac:dyDescent="0.25">
      <c r="A10" s="7">
        <f t="shared" si="3"/>
        <v>2029</v>
      </c>
      <c r="B10" s="43">
        <v>50153.885599999987</v>
      </c>
      <c r="C10" s="107">
        <v>125000</v>
      </c>
      <c r="D10" s="107">
        <v>221000</v>
      </c>
      <c r="E10" s="107">
        <v>215000</v>
      </c>
      <c r="F10" s="107">
        <v>199000</v>
      </c>
      <c r="G10" s="108">
        <f t="shared" si="0"/>
        <v>760000</v>
      </c>
      <c r="H10" s="108">
        <f t="shared" si="1"/>
        <v>57874.412095832122</v>
      </c>
      <c r="I10" s="108">
        <f t="shared" si="2"/>
        <v>702125.58790416783</v>
      </c>
    </row>
    <row r="11" spans="1:9" ht="15.75" customHeight="1" x14ac:dyDescent="0.25">
      <c r="A11" s="7">
        <f t="shared" si="3"/>
        <v>2030</v>
      </c>
      <c r="B11" s="43">
        <v>49865.2</v>
      </c>
      <c r="C11" s="107">
        <v>126000</v>
      </c>
      <c r="D11" s="107">
        <v>223000</v>
      </c>
      <c r="E11" s="107">
        <v>215000</v>
      </c>
      <c r="F11" s="107">
        <v>202000</v>
      </c>
      <c r="G11" s="108">
        <f t="shared" si="0"/>
        <v>766000</v>
      </c>
      <c r="H11" s="108">
        <f t="shared" si="1"/>
        <v>57541.287170800751</v>
      </c>
      <c r="I11" s="108">
        <f t="shared" si="2"/>
        <v>708458.71282919927</v>
      </c>
    </row>
    <row r="12" spans="1:9" ht="15.75" customHeight="1" x14ac:dyDescent="0.25">
      <c r="A12" s="7" t="str">
        <f t="shared" si="3"/>
        <v/>
      </c>
      <c r="B12" s="43"/>
      <c r="C12" s="107"/>
      <c r="D12" s="107"/>
      <c r="E12" s="107"/>
      <c r="F12" s="107"/>
      <c r="G12" s="108">
        <f t="shared" si="0"/>
        <v>0</v>
      </c>
      <c r="H12" s="108">
        <f t="shared" si="1"/>
        <v>0</v>
      </c>
      <c r="I12" s="108">
        <f t="shared" si="2"/>
        <v>0</v>
      </c>
    </row>
    <row r="13" spans="1:9" ht="15.75" customHeight="1" x14ac:dyDescent="0.25">
      <c r="A13" s="7" t="str">
        <f t="shared" si="3"/>
        <v/>
      </c>
      <c r="B13" s="43"/>
      <c r="C13" s="107"/>
      <c r="D13" s="107"/>
      <c r="E13" s="107"/>
      <c r="F13" s="107"/>
      <c r="G13" s="108">
        <f t="shared" si="0"/>
        <v>0</v>
      </c>
      <c r="H13" s="108">
        <f t="shared" si="1"/>
        <v>0</v>
      </c>
      <c r="I13" s="108">
        <f t="shared" si="2"/>
        <v>0</v>
      </c>
    </row>
    <row r="14" spans="1:9" ht="15.75" customHeight="1" x14ac:dyDescent="0.25">
      <c r="A14" s="7" t="str">
        <f t="shared" si="3"/>
        <v/>
      </c>
      <c r="B14" s="43"/>
      <c r="C14" s="107"/>
      <c r="D14" s="107"/>
      <c r="E14" s="107"/>
      <c r="F14" s="107"/>
      <c r="G14" s="108">
        <f t="shared" si="0"/>
        <v>0</v>
      </c>
      <c r="H14" s="108">
        <f t="shared" si="1"/>
        <v>0</v>
      </c>
      <c r="I14" s="108">
        <f t="shared" si="2"/>
        <v>0</v>
      </c>
    </row>
    <row r="15" spans="1:9" ht="15.75" customHeight="1" x14ac:dyDescent="0.25">
      <c r="A15" s="7" t="str">
        <f t="shared" si="3"/>
        <v/>
      </c>
      <c r="B15" s="43"/>
      <c r="C15" s="107"/>
      <c r="D15" s="107"/>
      <c r="E15" s="107"/>
      <c r="F15" s="107"/>
      <c r="G15" s="108">
        <f t="shared" si="0"/>
        <v>0</v>
      </c>
      <c r="H15" s="108">
        <f t="shared" si="1"/>
        <v>0</v>
      </c>
      <c r="I15" s="108">
        <f t="shared" si="2"/>
        <v>0</v>
      </c>
    </row>
    <row r="16" spans="1:9" ht="15.75" customHeight="1" x14ac:dyDescent="0.25">
      <c r="A16" s="7" t="str">
        <f t="shared" si="3"/>
        <v/>
      </c>
      <c r="B16" s="43"/>
      <c r="C16" s="107"/>
      <c r="D16" s="107"/>
      <c r="E16" s="107"/>
      <c r="F16" s="107"/>
      <c r="G16" s="108">
        <f t="shared" si="0"/>
        <v>0</v>
      </c>
      <c r="H16" s="108">
        <f t="shared" si="1"/>
        <v>0</v>
      </c>
      <c r="I16" s="108">
        <f t="shared" si="2"/>
        <v>0</v>
      </c>
    </row>
    <row r="17" spans="1:9" ht="15.75" customHeight="1" x14ac:dyDescent="0.25">
      <c r="A17" s="7" t="str">
        <f t="shared" si="3"/>
        <v/>
      </c>
      <c r="B17" s="43"/>
      <c r="C17" s="107"/>
      <c r="E17" s="107"/>
      <c r="F17" s="107"/>
      <c r="G17" s="108" t="e">
        <f>C17+E17+#REF!+F17</f>
        <v>#REF!</v>
      </c>
      <c r="H17" s="108">
        <f t="shared" si="1"/>
        <v>0</v>
      </c>
      <c r="I17" s="108" t="e">
        <f t="shared" si="2"/>
        <v>#REF!</v>
      </c>
    </row>
    <row r="18" spans="1:9" ht="15.75" customHeight="1" x14ac:dyDescent="0.25">
      <c r="A18" s="7" t="str">
        <f t="shared" si="3"/>
        <v/>
      </c>
      <c r="B18" s="43"/>
      <c r="C18" s="107"/>
      <c r="D18" s="107"/>
      <c r="E18" s="107"/>
      <c r="F18" s="107"/>
      <c r="G18" s="108">
        <f t="shared" ref="G18:G40" si="4">C18+D18+E18+F18</f>
        <v>0</v>
      </c>
      <c r="H18" s="108">
        <f t="shared" si="1"/>
        <v>0</v>
      </c>
      <c r="I18" s="108">
        <f t="shared" si="2"/>
        <v>0</v>
      </c>
    </row>
    <row r="19" spans="1:9" ht="15.75" customHeight="1" x14ac:dyDescent="0.25">
      <c r="A19" s="7" t="str">
        <f t="shared" si="3"/>
        <v/>
      </c>
      <c r="B19" s="43"/>
      <c r="C19" s="107"/>
      <c r="D19" s="107"/>
      <c r="E19" s="107"/>
      <c r="F19" s="107"/>
      <c r="G19" s="108">
        <f t="shared" si="4"/>
        <v>0</v>
      </c>
      <c r="H19" s="108">
        <f t="shared" si="1"/>
        <v>0</v>
      </c>
      <c r="I19" s="108">
        <f t="shared" si="2"/>
        <v>0</v>
      </c>
    </row>
    <row r="20" spans="1:9" ht="15.75" customHeight="1" x14ac:dyDescent="0.25">
      <c r="A20" s="7" t="str">
        <f t="shared" si="3"/>
        <v/>
      </c>
      <c r="B20" s="43"/>
      <c r="C20" s="107"/>
      <c r="D20" s="107"/>
      <c r="E20" s="107"/>
      <c r="F20" s="107"/>
      <c r="G20" s="108">
        <f t="shared" si="4"/>
        <v>0</v>
      </c>
      <c r="H20" s="108">
        <f t="shared" si="1"/>
        <v>0</v>
      </c>
      <c r="I20" s="108">
        <f t="shared" si="2"/>
        <v>0</v>
      </c>
    </row>
    <row r="21" spans="1:9" ht="15.75" customHeight="1" x14ac:dyDescent="0.25">
      <c r="A21" s="7" t="str">
        <f t="shared" si="3"/>
        <v/>
      </c>
      <c r="B21" s="43"/>
      <c r="C21" s="107"/>
      <c r="D21" s="107"/>
      <c r="E21" s="107"/>
      <c r="F21" s="107"/>
      <c r="G21" s="108">
        <f t="shared" si="4"/>
        <v>0</v>
      </c>
      <c r="H21" s="108">
        <f t="shared" si="1"/>
        <v>0</v>
      </c>
      <c r="I21" s="108">
        <f t="shared" si="2"/>
        <v>0</v>
      </c>
    </row>
    <row r="22" spans="1:9" ht="15.75" customHeight="1" x14ac:dyDescent="0.25">
      <c r="A22" s="7" t="str">
        <f t="shared" si="3"/>
        <v/>
      </c>
      <c r="B22" s="43"/>
      <c r="C22" s="107"/>
      <c r="D22" s="107"/>
      <c r="E22" s="107"/>
      <c r="F22" s="107"/>
      <c r="G22" s="108">
        <f t="shared" si="4"/>
        <v>0</v>
      </c>
      <c r="H22" s="108">
        <f t="shared" si="1"/>
        <v>0</v>
      </c>
      <c r="I22" s="108">
        <f t="shared" si="2"/>
        <v>0</v>
      </c>
    </row>
    <row r="23" spans="1:9" ht="15.75" customHeight="1" x14ac:dyDescent="0.25">
      <c r="A23" s="7" t="str">
        <f t="shared" si="3"/>
        <v/>
      </c>
      <c r="B23" s="43"/>
      <c r="C23" s="107"/>
      <c r="D23" s="107"/>
      <c r="E23" s="107"/>
      <c r="F23" s="107"/>
      <c r="G23" s="108">
        <f t="shared" si="4"/>
        <v>0</v>
      </c>
      <c r="H23" s="108">
        <f t="shared" si="1"/>
        <v>0</v>
      </c>
      <c r="I23" s="108">
        <f t="shared" si="2"/>
        <v>0</v>
      </c>
    </row>
    <row r="24" spans="1:9" ht="15.75" customHeight="1" x14ac:dyDescent="0.25">
      <c r="A24" s="7" t="str">
        <f t="shared" si="3"/>
        <v/>
      </c>
      <c r="B24" s="43"/>
      <c r="C24" s="107"/>
      <c r="D24" s="107"/>
      <c r="E24" s="107"/>
      <c r="F24" s="107"/>
      <c r="G24" s="108">
        <f t="shared" si="4"/>
        <v>0</v>
      </c>
      <c r="H24" s="108">
        <f t="shared" si="1"/>
        <v>0</v>
      </c>
      <c r="I24" s="108">
        <f t="shared" si="2"/>
        <v>0</v>
      </c>
    </row>
    <row r="25" spans="1:9" ht="15.75" customHeight="1" x14ac:dyDescent="0.25">
      <c r="A25" s="7" t="str">
        <f t="shared" si="3"/>
        <v/>
      </c>
      <c r="B25" s="43"/>
      <c r="C25" s="107"/>
      <c r="D25" s="107"/>
      <c r="E25" s="107"/>
      <c r="F25" s="107"/>
      <c r="G25" s="108">
        <f t="shared" si="4"/>
        <v>0</v>
      </c>
      <c r="H25" s="108">
        <f t="shared" si="1"/>
        <v>0</v>
      </c>
      <c r="I25" s="108">
        <f t="shared" si="2"/>
        <v>0</v>
      </c>
    </row>
    <row r="26" spans="1:9" ht="15.75" customHeight="1" x14ac:dyDescent="0.25">
      <c r="A26" s="7" t="str">
        <f t="shared" si="3"/>
        <v/>
      </c>
      <c r="B26" s="43"/>
      <c r="C26" s="107"/>
      <c r="D26" s="107"/>
      <c r="E26" s="107"/>
      <c r="F26" s="107"/>
      <c r="G26" s="108">
        <f t="shared" si="4"/>
        <v>0</v>
      </c>
      <c r="H26" s="108">
        <f t="shared" si="1"/>
        <v>0</v>
      </c>
      <c r="I26" s="108">
        <f t="shared" si="2"/>
        <v>0</v>
      </c>
    </row>
    <row r="27" spans="1:9" ht="15.75" customHeight="1" x14ac:dyDescent="0.25">
      <c r="A27" s="7" t="str">
        <f t="shared" si="3"/>
        <v/>
      </c>
      <c r="B27" s="43"/>
      <c r="C27" s="107"/>
      <c r="D27" s="107"/>
      <c r="E27" s="107"/>
      <c r="F27" s="107"/>
      <c r="G27" s="108">
        <f t="shared" si="4"/>
        <v>0</v>
      </c>
      <c r="H27" s="108">
        <f t="shared" si="1"/>
        <v>0</v>
      </c>
      <c r="I27" s="108">
        <f t="shared" si="2"/>
        <v>0</v>
      </c>
    </row>
    <row r="28" spans="1:9" ht="15.75" customHeight="1" x14ac:dyDescent="0.25">
      <c r="A28" s="7" t="str">
        <f t="shared" si="3"/>
        <v/>
      </c>
      <c r="B28" s="43"/>
      <c r="C28" s="107"/>
      <c r="D28" s="107"/>
      <c r="E28" s="107"/>
      <c r="F28" s="107"/>
      <c r="G28" s="108">
        <f t="shared" si="4"/>
        <v>0</v>
      </c>
      <c r="H28" s="108">
        <f t="shared" si="1"/>
        <v>0</v>
      </c>
      <c r="I28" s="108">
        <f t="shared" si="2"/>
        <v>0</v>
      </c>
    </row>
    <row r="29" spans="1:9" ht="15.75" customHeight="1" x14ac:dyDescent="0.25">
      <c r="A29" s="7" t="str">
        <f t="shared" si="3"/>
        <v/>
      </c>
      <c r="B29" s="43"/>
      <c r="C29" s="107"/>
      <c r="D29" s="107"/>
      <c r="E29" s="107"/>
      <c r="F29" s="107"/>
      <c r="G29" s="108">
        <f t="shared" si="4"/>
        <v>0</v>
      </c>
      <c r="H29" s="108">
        <f t="shared" si="1"/>
        <v>0</v>
      </c>
      <c r="I29" s="108">
        <f t="shared" si="2"/>
        <v>0</v>
      </c>
    </row>
    <row r="30" spans="1:9" ht="15.75" customHeight="1" x14ac:dyDescent="0.25">
      <c r="A30" s="7" t="str">
        <f t="shared" si="3"/>
        <v/>
      </c>
      <c r="B30" s="43"/>
      <c r="C30" s="107"/>
      <c r="D30" s="107"/>
      <c r="E30" s="107"/>
      <c r="F30" s="107"/>
      <c r="G30" s="108">
        <f t="shared" si="4"/>
        <v>0</v>
      </c>
      <c r="H30" s="108">
        <f t="shared" si="1"/>
        <v>0</v>
      </c>
      <c r="I30" s="108">
        <f t="shared" si="2"/>
        <v>0</v>
      </c>
    </row>
    <row r="31" spans="1:9" ht="15.75" customHeight="1" x14ac:dyDescent="0.25">
      <c r="A31" s="7" t="str">
        <f t="shared" si="3"/>
        <v/>
      </c>
      <c r="B31" s="43"/>
      <c r="C31" s="107"/>
      <c r="D31" s="107"/>
      <c r="E31" s="107"/>
      <c r="F31" s="107"/>
      <c r="G31" s="108">
        <f t="shared" si="4"/>
        <v>0</v>
      </c>
      <c r="H31" s="108">
        <f t="shared" si="1"/>
        <v>0</v>
      </c>
      <c r="I31" s="108">
        <f t="shared" si="2"/>
        <v>0</v>
      </c>
    </row>
    <row r="32" spans="1:9" ht="15.75" customHeight="1" x14ac:dyDescent="0.25">
      <c r="A32" s="7" t="str">
        <f t="shared" si="3"/>
        <v/>
      </c>
      <c r="B32" s="43"/>
      <c r="C32" s="107"/>
      <c r="D32" s="107"/>
      <c r="E32" s="107"/>
      <c r="F32" s="107"/>
      <c r="G32" s="108">
        <f t="shared" si="4"/>
        <v>0</v>
      </c>
      <c r="H32" s="108">
        <f t="shared" si="1"/>
        <v>0</v>
      </c>
      <c r="I32" s="108">
        <f t="shared" si="2"/>
        <v>0</v>
      </c>
    </row>
    <row r="33" spans="1:9" ht="15.75" customHeight="1" x14ac:dyDescent="0.25">
      <c r="A33" s="7" t="str">
        <f t="shared" si="3"/>
        <v/>
      </c>
      <c r="B33" s="43"/>
      <c r="C33" s="107"/>
      <c r="D33" s="107"/>
      <c r="E33" s="107"/>
      <c r="F33" s="107"/>
      <c r="G33" s="108">
        <f t="shared" si="4"/>
        <v>0</v>
      </c>
      <c r="H33" s="108">
        <f t="shared" si="1"/>
        <v>0</v>
      </c>
      <c r="I33" s="108">
        <f t="shared" si="2"/>
        <v>0</v>
      </c>
    </row>
    <row r="34" spans="1:9" ht="15.75" customHeight="1" x14ac:dyDescent="0.25">
      <c r="A34" s="7" t="str">
        <f t="shared" si="3"/>
        <v/>
      </c>
      <c r="B34" s="43"/>
      <c r="C34" s="107"/>
      <c r="D34" s="107"/>
      <c r="E34" s="107"/>
      <c r="F34" s="107"/>
      <c r="G34" s="108">
        <f t="shared" si="4"/>
        <v>0</v>
      </c>
      <c r="H34" s="108">
        <f t="shared" si="1"/>
        <v>0</v>
      </c>
      <c r="I34" s="108">
        <f t="shared" si="2"/>
        <v>0</v>
      </c>
    </row>
    <row r="35" spans="1:9" ht="15.75" customHeight="1" x14ac:dyDescent="0.25">
      <c r="A35" s="7" t="str">
        <f t="shared" si="3"/>
        <v/>
      </c>
      <c r="B35" s="43"/>
      <c r="C35" s="107"/>
      <c r="D35" s="107"/>
      <c r="E35" s="107"/>
      <c r="F35" s="107"/>
      <c r="G35" s="108">
        <f t="shared" si="4"/>
        <v>0</v>
      </c>
      <c r="H35" s="108">
        <f t="shared" si="1"/>
        <v>0</v>
      </c>
      <c r="I35" s="108">
        <f t="shared" si="2"/>
        <v>0</v>
      </c>
    </row>
    <row r="36" spans="1:9" ht="15.75" customHeight="1" x14ac:dyDescent="0.25">
      <c r="A36" s="7" t="str">
        <f t="shared" si="3"/>
        <v/>
      </c>
      <c r="B36" s="43"/>
      <c r="C36" s="107"/>
      <c r="D36" s="107"/>
      <c r="E36" s="107"/>
      <c r="F36" s="107"/>
      <c r="G36" s="108">
        <f t="shared" si="4"/>
        <v>0</v>
      </c>
      <c r="H36" s="108">
        <f t="shared" si="1"/>
        <v>0</v>
      </c>
      <c r="I36" s="108">
        <f t="shared" si="2"/>
        <v>0</v>
      </c>
    </row>
    <row r="37" spans="1:9" ht="15.75" customHeight="1" x14ac:dyDescent="0.25">
      <c r="A37" s="7" t="str">
        <f t="shared" si="3"/>
        <v/>
      </c>
      <c r="B37" s="43"/>
      <c r="C37" s="107"/>
      <c r="D37" s="107"/>
      <c r="E37" s="107"/>
      <c r="F37" s="107"/>
      <c r="G37" s="108">
        <f t="shared" si="4"/>
        <v>0</v>
      </c>
      <c r="H37" s="108">
        <f t="shared" si="1"/>
        <v>0</v>
      </c>
      <c r="I37" s="108">
        <f t="shared" si="2"/>
        <v>0</v>
      </c>
    </row>
    <row r="38" spans="1:9" ht="15.75" customHeight="1" x14ac:dyDescent="0.25">
      <c r="A38" s="7" t="str">
        <f t="shared" si="3"/>
        <v/>
      </c>
      <c r="B38" s="43"/>
      <c r="C38" s="107"/>
      <c r="D38" s="107"/>
      <c r="E38" s="107"/>
      <c r="F38" s="107"/>
      <c r="G38" s="108">
        <f t="shared" si="4"/>
        <v>0</v>
      </c>
      <c r="H38" s="108">
        <f t="shared" si="1"/>
        <v>0</v>
      </c>
      <c r="I38" s="108">
        <f t="shared" si="2"/>
        <v>0</v>
      </c>
    </row>
    <row r="39" spans="1:9" ht="15.75" customHeight="1" x14ac:dyDescent="0.25">
      <c r="A39" s="7" t="str">
        <f t="shared" si="3"/>
        <v/>
      </c>
      <c r="B39" s="43"/>
      <c r="C39" s="107"/>
      <c r="D39" s="107"/>
      <c r="E39" s="107"/>
      <c r="F39" s="107"/>
      <c r="G39" s="108">
        <f t="shared" si="4"/>
        <v>0</v>
      </c>
      <c r="H39" s="108">
        <f t="shared" si="1"/>
        <v>0</v>
      </c>
      <c r="I39" s="108">
        <f t="shared" si="2"/>
        <v>0</v>
      </c>
    </row>
    <row r="40" spans="1:9" ht="15.75" customHeight="1" x14ac:dyDescent="0.25">
      <c r="A40" s="7" t="str">
        <f t="shared" si="3"/>
        <v/>
      </c>
      <c r="B40" s="43"/>
      <c r="C40" s="107"/>
      <c r="D40" s="107"/>
      <c r="E40" s="107"/>
      <c r="F40" s="107"/>
      <c r="G40" s="108">
        <f t="shared" si="4"/>
        <v>0</v>
      </c>
      <c r="H40" s="108">
        <f t="shared" si="1"/>
        <v>0</v>
      </c>
      <c r="I40" s="108">
        <f t="shared" si="2"/>
        <v>0</v>
      </c>
    </row>
  </sheetData>
  <sheetProtection algorithmName="SHA-512" hashValue="tRS/wWTUWQWd+cOahjopb54Z2FMpKQ5jq/XcsNS4zr7u5hD+aPDoRxwbWLXltQu2g+uQRh+07+F6S6nQCFtwQg==" saltValue="L8pJQQ+yWXxUEsB4lc5JVA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26" sqref="C26:C34"/>
    </sheetView>
  </sheetViews>
  <sheetFormatPr defaultColWidth="14.453125" defaultRowHeight="15.75" customHeight="1" x14ac:dyDescent="0.25"/>
  <cols>
    <col min="1" max="1" width="16.08984375" style="3" customWidth="1"/>
    <col min="2" max="2" width="31.36328125" style="3" customWidth="1"/>
    <col min="3" max="8" width="13" style="3" customWidth="1"/>
  </cols>
  <sheetData>
    <row r="1" spans="1:8" ht="27.75" customHeight="1" x14ac:dyDescent="0.3">
      <c r="A1" s="31" t="str">
        <f>"Porcentaje de muertes en el año de referencia ("&amp;start_year&amp;") atribuible a la causa"</f>
        <v>Porcentaje de muertes en el año de referencia (2021) atribuible a la causa</v>
      </c>
      <c r="B1" s="21"/>
      <c r="C1" s="21"/>
      <c r="D1" s="21"/>
      <c r="E1" s="21"/>
      <c r="F1" s="21"/>
    </row>
    <row r="2" spans="1:8" ht="27.75" customHeight="1" x14ac:dyDescent="0.3">
      <c r="A2" t="s">
        <v>65</v>
      </c>
      <c r="B2" s="21" t="s">
        <v>66</v>
      </c>
      <c r="C2" s="21" t="s">
        <v>67</v>
      </c>
      <c r="D2" s="21"/>
      <c r="E2" s="21"/>
      <c r="F2" s="21"/>
      <c r="G2" s="21"/>
    </row>
    <row r="3" spans="1:8" ht="15.75" customHeight="1" x14ac:dyDescent="0.25">
      <c r="B3" s="13" t="s">
        <v>68</v>
      </c>
      <c r="C3" s="44">
        <v>3.7875509608892599E-3</v>
      </c>
    </row>
    <row r="4" spans="1:8" ht="15.75" customHeight="1" x14ac:dyDescent="0.25">
      <c r="B4" s="13" t="s">
        <v>69</v>
      </c>
      <c r="C4" s="44">
        <v>0.13629996490637031</v>
      </c>
    </row>
    <row r="5" spans="1:8" ht="15.75" customHeight="1" x14ac:dyDescent="0.25">
      <c r="B5" s="13" t="s">
        <v>70</v>
      </c>
      <c r="C5" s="44">
        <v>5.7183022236367127E-2</v>
      </c>
    </row>
    <row r="6" spans="1:8" ht="15.75" customHeight="1" x14ac:dyDescent="0.25">
      <c r="B6" s="13" t="s">
        <v>71</v>
      </c>
      <c r="C6" s="44">
        <v>0.22607671947722649</v>
      </c>
    </row>
    <row r="7" spans="1:8" ht="15.75" customHeight="1" x14ac:dyDescent="0.25">
      <c r="B7" s="13" t="s">
        <v>72</v>
      </c>
      <c r="C7" s="44">
        <v>0.37216536790639748</v>
      </c>
    </row>
    <row r="8" spans="1:8" ht="15.75" customHeight="1" x14ac:dyDescent="0.25">
      <c r="B8" s="13" t="s">
        <v>73</v>
      </c>
      <c r="C8" s="44">
        <v>5.2335975922138149E-3</v>
      </c>
    </row>
    <row r="9" spans="1:8" ht="15.75" customHeight="1" x14ac:dyDescent="0.25">
      <c r="B9" s="13" t="s">
        <v>74</v>
      </c>
      <c r="C9" s="44">
        <v>0.1386804267676289</v>
      </c>
    </row>
    <row r="10" spans="1:8" ht="15.75" customHeight="1" x14ac:dyDescent="0.25">
      <c r="B10" s="13" t="s">
        <v>75</v>
      </c>
      <c r="C10" s="44">
        <v>6.0573350152906602E-2</v>
      </c>
    </row>
    <row r="11" spans="1:8" ht="15.75" customHeight="1" x14ac:dyDescent="0.25">
      <c r="B11" s="18" t="s">
        <v>30</v>
      </c>
      <c r="C11" s="41">
        <f>SUM(C3:C10)</f>
        <v>1</v>
      </c>
      <c r="G11" s="13"/>
      <c r="H11" s="13"/>
    </row>
    <row r="12" spans="1:8" ht="15.75" customHeight="1" x14ac:dyDescent="0.25">
      <c r="B12" s="18"/>
      <c r="C12" s="13"/>
      <c r="D12" s="13"/>
      <c r="E12" s="13"/>
      <c r="F12" s="13"/>
      <c r="G12" s="13"/>
      <c r="H12" s="13"/>
    </row>
    <row r="13" spans="1:8" ht="15.75" customHeight="1" x14ac:dyDescent="0.3">
      <c r="A13" s="97" t="s">
        <v>76</v>
      </c>
      <c r="B13" s="21" t="s">
        <v>66</v>
      </c>
      <c r="C13" s="12" t="s">
        <v>77</v>
      </c>
      <c r="D13" s="12" t="s">
        <v>78</v>
      </c>
      <c r="E13" s="12" t="s">
        <v>79</v>
      </c>
      <c r="F13" s="12" t="s">
        <v>80</v>
      </c>
      <c r="G13" s="13"/>
    </row>
    <row r="14" spans="1:8" ht="15.75" customHeight="1" x14ac:dyDescent="0.25">
      <c r="B14" s="13" t="s">
        <v>81</v>
      </c>
      <c r="C14" s="44">
        <v>8.7616104124993391E-2</v>
      </c>
      <c r="D14" s="44">
        <v>8.7616104124993391E-2</v>
      </c>
      <c r="E14" s="44">
        <v>8.7616104124993391E-2</v>
      </c>
      <c r="F14" s="44">
        <v>8.7616104124993391E-2</v>
      </c>
    </row>
    <row r="15" spans="1:8" ht="15.75" customHeight="1" x14ac:dyDescent="0.25">
      <c r="B15" s="13" t="s">
        <v>82</v>
      </c>
      <c r="C15" s="44">
        <v>0.13332115058942601</v>
      </c>
      <c r="D15" s="44">
        <v>0.13332115058942601</v>
      </c>
      <c r="E15" s="44">
        <v>0.13332115058942601</v>
      </c>
      <c r="F15" s="44">
        <v>0.13332115058942601</v>
      </c>
    </row>
    <row r="16" spans="1:8" ht="15.75" customHeight="1" x14ac:dyDescent="0.25">
      <c r="B16" s="13" t="s">
        <v>83</v>
      </c>
      <c r="C16" s="44">
        <v>7.5543209277009922E-3</v>
      </c>
      <c r="D16" s="44">
        <v>7.5543209277009922E-3</v>
      </c>
      <c r="E16" s="44">
        <v>7.5543209277009922E-3</v>
      </c>
      <c r="F16" s="44">
        <v>7.5543209277009922E-3</v>
      </c>
    </row>
    <row r="17" spans="1:8" ht="15.75" customHeight="1" x14ac:dyDescent="0.25">
      <c r="B17" s="13" t="s">
        <v>84</v>
      </c>
      <c r="C17" s="44">
        <v>0</v>
      </c>
      <c r="D17" s="44">
        <v>0</v>
      </c>
      <c r="E17" s="44">
        <v>0</v>
      </c>
      <c r="F17" s="44">
        <v>0</v>
      </c>
    </row>
    <row r="18" spans="1:8" ht="15.75" customHeight="1" x14ac:dyDescent="0.25">
      <c r="B18" s="13" t="s">
        <v>85</v>
      </c>
      <c r="C18" s="44">
        <v>0</v>
      </c>
      <c r="D18" s="44">
        <v>0</v>
      </c>
      <c r="E18" s="44">
        <v>0</v>
      </c>
      <c r="F18" s="44">
        <v>0</v>
      </c>
    </row>
    <row r="19" spans="1:8" ht="15.75" customHeight="1" x14ac:dyDescent="0.25">
      <c r="B19" s="13" t="s">
        <v>86</v>
      </c>
      <c r="C19" s="44">
        <v>6.1620899995234683E-3</v>
      </c>
      <c r="D19" s="44">
        <v>6.1620899995234683E-3</v>
      </c>
      <c r="E19" s="44">
        <v>6.1620899995234683E-3</v>
      </c>
      <c r="F19" s="44">
        <v>6.1620899995234683E-3</v>
      </c>
    </row>
    <row r="20" spans="1:8" ht="15.75" customHeight="1" x14ac:dyDescent="0.25">
      <c r="B20" s="13" t="s">
        <v>87</v>
      </c>
      <c r="C20" s="44">
        <v>0.37582612689440609</v>
      </c>
      <c r="D20" s="44">
        <v>0.37582612689440609</v>
      </c>
      <c r="E20" s="44">
        <v>0.37582612689440609</v>
      </c>
      <c r="F20" s="44">
        <v>0.37582612689440609</v>
      </c>
    </row>
    <row r="21" spans="1:8" ht="15.75" customHeight="1" x14ac:dyDescent="0.25">
      <c r="B21" s="13" t="s">
        <v>88</v>
      </c>
      <c r="C21" s="44">
        <v>8.9912848839864862E-2</v>
      </c>
      <c r="D21" s="44">
        <v>8.9912848839864862E-2</v>
      </c>
      <c r="E21" s="44">
        <v>8.9912848839864862E-2</v>
      </c>
      <c r="F21" s="44">
        <v>8.9912848839864862E-2</v>
      </c>
    </row>
    <row r="22" spans="1:8" ht="15.75" customHeight="1" x14ac:dyDescent="0.25">
      <c r="B22" s="13" t="s">
        <v>89</v>
      </c>
      <c r="C22" s="44">
        <v>0.29960735862408522</v>
      </c>
      <c r="D22" s="44">
        <v>0.29960735862408522</v>
      </c>
      <c r="E22" s="44">
        <v>0.29960735862408522</v>
      </c>
      <c r="F22" s="44">
        <v>0.29960735862408522</v>
      </c>
    </row>
    <row r="23" spans="1:8" ht="15.75" customHeight="1" x14ac:dyDescent="0.25">
      <c r="B23" s="18" t="s">
        <v>30</v>
      </c>
      <c r="C23" s="41">
        <f>SUM(C14:C22)</f>
        <v>1</v>
      </c>
      <c r="D23" s="41">
        <f>SUM(D14:D22)</f>
        <v>1</v>
      </c>
      <c r="E23" s="41">
        <f>SUM(E14:E22)</f>
        <v>1</v>
      </c>
      <c r="F23" s="41">
        <f>SUM(F14:F22)</f>
        <v>1</v>
      </c>
      <c r="G23" s="13"/>
      <c r="H23" s="13"/>
    </row>
    <row r="24" spans="1:8" ht="15.75" customHeight="1" x14ac:dyDescent="0.25">
      <c r="B24" s="18"/>
      <c r="C24" s="13"/>
      <c r="D24" s="13"/>
      <c r="E24" s="13"/>
      <c r="F24" s="13"/>
      <c r="G24" s="13"/>
      <c r="H24" s="13"/>
    </row>
    <row r="25" spans="1:8" ht="15.75" customHeight="1" x14ac:dyDescent="0.3">
      <c r="A25" t="s">
        <v>90</v>
      </c>
      <c r="B25" s="21" t="s">
        <v>66</v>
      </c>
      <c r="C25" s="21" t="s">
        <v>90</v>
      </c>
      <c r="D25" s="13"/>
      <c r="E25" s="13"/>
      <c r="F25" s="13"/>
      <c r="G25" s="13"/>
      <c r="H25" s="13"/>
    </row>
    <row r="26" spans="1:8" ht="15.75" customHeight="1" x14ac:dyDescent="0.25">
      <c r="B26" s="13" t="s">
        <v>91</v>
      </c>
      <c r="C26" s="44">
        <v>4.6309735999999997E-2</v>
      </c>
    </row>
    <row r="27" spans="1:8" ht="15.75" customHeight="1" x14ac:dyDescent="0.25">
      <c r="B27" s="13" t="s">
        <v>92</v>
      </c>
      <c r="C27" s="44">
        <v>2.2410375E-2</v>
      </c>
    </row>
    <row r="28" spans="1:8" ht="15.75" customHeight="1" x14ac:dyDescent="0.25">
      <c r="B28" s="13" t="s">
        <v>93</v>
      </c>
      <c r="C28" s="44">
        <v>0.105751911</v>
      </c>
    </row>
    <row r="29" spans="1:8" ht="15.75" customHeight="1" x14ac:dyDescent="0.25">
      <c r="B29" s="13" t="s">
        <v>94</v>
      </c>
      <c r="C29" s="44">
        <v>0.106714216</v>
      </c>
    </row>
    <row r="30" spans="1:8" ht="15.75" customHeight="1" x14ac:dyDescent="0.25">
      <c r="B30" s="13" t="s">
        <v>95</v>
      </c>
      <c r="C30" s="44">
        <v>5.0717751999999991E-2</v>
      </c>
    </row>
    <row r="31" spans="1:8" ht="15.75" customHeight="1" x14ac:dyDescent="0.25">
      <c r="B31" s="13" t="s">
        <v>96</v>
      </c>
      <c r="C31" s="44">
        <v>9.8186192000000005E-2</v>
      </c>
    </row>
    <row r="32" spans="1:8" ht="15.75" customHeight="1" x14ac:dyDescent="0.25">
      <c r="B32" s="13" t="s">
        <v>97</v>
      </c>
      <c r="C32" s="44">
        <v>3.9065067000000002E-2</v>
      </c>
    </row>
    <row r="33" spans="2:3" ht="15.75" customHeight="1" x14ac:dyDescent="0.25">
      <c r="B33" s="13" t="s">
        <v>98</v>
      </c>
      <c r="C33" s="44">
        <v>9.1384244000000003E-2</v>
      </c>
    </row>
    <row r="34" spans="2:3" ht="15.75" customHeight="1" x14ac:dyDescent="0.25">
      <c r="B34" s="13" t="s">
        <v>99</v>
      </c>
      <c r="C34" s="44">
        <v>0.43946050599999997</v>
      </c>
    </row>
    <row r="35" spans="2:3" ht="15.75" customHeight="1" x14ac:dyDescent="0.25">
      <c r="B35" s="18" t="s">
        <v>30</v>
      </c>
      <c r="C35" s="41">
        <f>SUM(C26:C34)</f>
        <v>0.99999999900000003</v>
      </c>
    </row>
  </sheetData>
  <sheetProtection algorithmName="SHA-512" hashValue="qk++1h8MIMi5pi0w7EFwVK/GMt0e5vZBJdCRyPZCf1a2AOrW0dUWyVSE07SFMkiO3tTN3fFXxBQdozknVZjZZQ==" saltValue="4S9MHeMffs3ken8+uGrGd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4" sqref="C14:O14"/>
    </sheetView>
  </sheetViews>
  <sheetFormatPr defaultColWidth="14.453125" defaultRowHeight="15.75" customHeight="1" x14ac:dyDescent="0.25"/>
  <cols>
    <col min="1" max="1" width="31.453125" style="3" customWidth="1"/>
    <col min="2" max="2" width="24" style="3" customWidth="1"/>
  </cols>
  <sheetData>
    <row r="1" spans="1:15" ht="36" customHeight="1" x14ac:dyDescent="0.3">
      <c r="A1" s="15" t="str">
        <f>"Porcentaje de población en cada categoría en el año de referencia ("&amp;start_year&amp;")"</f>
        <v>Porcentaje de población en cada categoría en el año de referencia (2021)</v>
      </c>
      <c r="B1" s="1" t="s">
        <v>100</v>
      </c>
      <c r="C1" s="22" t="s">
        <v>67</v>
      </c>
      <c r="D1" s="22" t="s">
        <v>77</v>
      </c>
      <c r="E1" s="22" t="s">
        <v>78</v>
      </c>
      <c r="F1" s="22" t="s">
        <v>79</v>
      </c>
      <c r="G1" s="22" t="s">
        <v>80</v>
      </c>
    </row>
    <row r="2" spans="1:15" ht="15.75" customHeight="1" x14ac:dyDescent="0.25">
      <c r="A2" s="4" t="s">
        <v>101</v>
      </c>
      <c r="B2" s="7" t="s">
        <v>102</v>
      </c>
      <c r="C2" s="109">
        <f>IFERROR(1-_xlfn.NORM.DIST(_xlfn.NORM.INV(SUM(C4:C5), 0, 1) + 1, 0, 1, TRUE), "")</f>
        <v>0.44339994804804883</v>
      </c>
      <c r="D2" s="109">
        <f>IFERROR(1-_xlfn.NORM.DIST(_xlfn.NORM.INV(SUM(D4:D5), 0, 1) + 1, 0, 1, TRUE), "")</f>
        <v>0.44339994804804883</v>
      </c>
      <c r="E2" s="109">
        <f>IFERROR(1-_xlfn.NORM.DIST(_xlfn.NORM.INV(SUM(E4:E5), 0, 1) + 1, 0, 1, TRUE), "")</f>
        <v>0.40223246743137242</v>
      </c>
      <c r="F2" s="109">
        <f>IFERROR(1-_xlfn.NORM.DIST(_xlfn.NORM.INV(SUM(F4:F5), 0, 1) + 1, 0, 1, TRUE), "")</f>
        <v>0.22821824261850465</v>
      </c>
      <c r="G2" s="109">
        <f>IFERROR(1-_xlfn.NORM.DIST(_xlfn.NORM.INV(SUM(G4:G5), 0, 1) + 1, 0, 1, TRUE), "")</f>
        <v>0.23113465980895531</v>
      </c>
    </row>
    <row r="3" spans="1:15" ht="15.75" customHeight="1" x14ac:dyDescent="0.25">
      <c r="B3" s="7" t="s">
        <v>103</v>
      </c>
      <c r="C3" s="109">
        <f>IFERROR(_xlfn.NORM.DIST(_xlfn.NORM.INV(SUM(C4:C5), 0, 1) + 1, 0, 1, TRUE) - SUM(C4:C5), "")</f>
        <v>0.36105589433954116</v>
      </c>
      <c r="D3" s="109">
        <f>IFERROR(_xlfn.NORM.DIST(_xlfn.NORM.INV(SUM(D4:D5), 0, 1) + 1, 0, 1, TRUE) - SUM(D4:D5), "")</f>
        <v>0.36105589433954116</v>
      </c>
      <c r="E3" s="109">
        <f>IFERROR(_xlfn.NORM.DIST(_xlfn.NORM.INV(SUM(E4:E5), 0, 1) + 1, 0, 1, TRUE) - SUM(E4:E5), "")</f>
        <v>0.37187042634075879</v>
      </c>
      <c r="F3" s="109">
        <f>IFERROR(_xlfn.NORM.DIST(_xlfn.NORM.INV(SUM(F4:F5), 0, 1) + 1, 0, 1, TRUE) - SUM(F4:F5), "")</f>
        <v>0.37252544728797632</v>
      </c>
      <c r="G3" s="109">
        <f>IFERROR(_xlfn.NORM.DIST(_xlfn.NORM.INV(SUM(G4:G5), 0, 1) + 1, 0, 1, TRUE) - SUM(G4:G5), "")</f>
        <v>0.37331622455409669</v>
      </c>
    </row>
    <row r="4" spans="1:15" ht="15.75" customHeight="1" x14ac:dyDescent="0.25">
      <c r="B4" s="7" t="s">
        <v>104</v>
      </c>
      <c r="C4" s="110">
        <v>0.111821104322815</v>
      </c>
      <c r="D4" s="110">
        <v>0.111821104322815</v>
      </c>
      <c r="E4" s="110">
        <v>0.136931886472626</v>
      </c>
      <c r="F4" s="110">
        <v>0.23012910700230901</v>
      </c>
      <c r="G4" s="110">
        <v>0.23836211918613001</v>
      </c>
    </row>
    <row r="5" spans="1:15" ht="15.75" customHeight="1" x14ac:dyDescent="0.25">
      <c r="B5" s="7" t="s">
        <v>105</v>
      </c>
      <c r="C5" s="110">
        <v>8.3723053289595006E-2</v>
      </c>
      <c r="D5" s="110">
        <v>8.3723053289595006E-2</v>
      </c>
      <c r="E5" s="110">
        <v>8.8965219755242797E-2</v>
      </c>
      <c r="F5" s="110">
        <v>0.16912720309120999</v>
      </c>
      <c r="G5" s="110">
        <v>0.15718699645081799</v>
      </c>
    </row>
    <row r="6" spans="1:15" ht="15.75" customHeight="1" x14ac:dyDescent="0.25">
      <c r="B6" s="19"/>
      <c r="C6" s="111"/>
      <c r="D6" s="111"/>
      <c r="E6" s="111"/>
      <c r="F6" s="111"/>
      <c r="G6" s="111"/>
    </row>
    <row r="7" spans="1:15" ht="15.75" customHeight="1" x14ac:dyDescent="0.25">
      <c r="B7" s="19"/>
      <c r="C7" s="111"/>
      <c r="D7" s="111"/>
      <c r="E7" s="111"/>
      <c r="F7" s="111"/>
      <c r="G7" s="111"/>
    </row>
    <row r="8" spans="1:15" ht="15.75" customHeight="1" x14ac:dyDescent="0.25">
      <c r="A8" s="4" t="s">
        <v>106</v>
      </c>
      <c r="B8" s="7" t="s">
        <v>107</v>
      </c>
      <c r="C8" s="109">
        <f>IFERROR(1-_xlfn.NORM.DIST(_xlfn.NORM.INV(SUM(C10:C11), 0, 1) + 1, 0, 1, TRUE), "")</f>
        <v>0.66741052631599818</v>
      </c>
      <c r="D8" s="109">
        <f>IFERROR(1-_xlfn.NORM.DIST(_xlfn.NORM.INV(SUM(D10:D11), 0, 1) + 1, 0, 1, TRUE), "")</f>
        <v>0.66741052631599818</v>
      </c>
      <c r="E8" s="109">
        <f>IFERROR(1-_xlfn.NORM.DIST(_xlfn.NORM.INV(SUM(E10:E11), 0, 1) + 1, 0, 1, TRUE), "")</f>
        <v>0.65162175209524664</v>
      </c>
      <c r="F8" s="109">
        <f>IFERROR(1-_xlfn.NORM.DIST(_xlfn.NORM.INV(SUM(F10:F11), 0, 1) + 1, 0, 1, TRUE), "")</f>
        <v>0.69553733000498186</v>
      </c>
      <c r="G8" s="109">
        <f>IFERROR(1-_xlfn.NORM.DIST(_xlfn.NORM.INV(SUM(G10:G11), 0, 1) + 1, 0, 1, TRUE), "")</f>
        <v>0.79953736632770112</v>
      </c>
    </row>
    <row r="9" spans="1:15" ht="15.75" customHeight="1" x14ac:dyDescent="0.25">
      <c r="B9" s="7" t="s">
        <v>108</v>
      </c>
      <c r="C9" s="109">
        <f>IFERROR(_xlfn.NORM.DIST(_xlfn.NORM.INV(SUM(C10:C11), 0, 1) + 1, 0, 1, TRUE) - SUM(C10:C11), "")</f>
        <v>0.25662825996403382</v>
      </c>
      <c r="D9" s="109">
        <f>IFERROR(_xlfn.NORM.DIST(_xlfn.NORM.INV(SUM(D10:D11), 0, 1) + 1, 0, 1, TRUE) - SUM(D10:D11), "")</f>
        <v>0.25662825996403382</v>
      </c>
      <c r="E9" s="109">
        <f>IFERROR(_xlfn.NORM.DIST(_xlfn.NORM.INV(SUM(E10:E11), 0, 1) + 1, 0, 1, TRUE) - SUM(E10:E11), "")</f>
        <v>0.26606864087333459</v>
      </c>
      <c r="F9" s="109">
        <f>IFERROR(_xlfn.NORM.DIST(_xlfn.NORM.INV(SUM(F10:F11), 0, 1) + 1, 0, 1, TRUE) - SUM(F10:F11), "")</f>
        <v>0.23914587059541584</v>
      </c>
      <c r="G9" s="109">
        <f>IFERROR(_xlfn.NORM.DIST(_xlfn.NORM.INV(SUM(G10:G11), 0, 1) + 1, 0, 1, TRUE) - SUM(G10:G11), "")</f>
        <v>0.16757630489458131</v>
      </c>
    </row>
    <row r="10" spans="1:15" ht="15.75" customHeight="1" x14ac:dyDescent="0.25">
      <c r="B10" s="7" t="s">
        <v>109</v>
      </c>
      <c r="C10" s="110">
        <v>4.4528465286550703E-2</v>
      </c>
      <c r="D10" s="110">
        <v>4.4528465286550703E-2</v>
      </c>
      <c r="E10" s="110">
        <v>5.3869001211279598E-2</v>
      </c>
      <c r="F10" s="110">
        <v>4.2470989307098798E-2</v>
      </c>
      <c r="G10" s="110">
        <v>2.2245084289190201E-2</v>
      </c>
    </row>
    <row r="11" spans="1:15" ht="15.75" customHeight="1" x14ac:dyDescent="0.25">
      <c r="B11" s="7" t="s">
        <v>110</v>
      </c>
      <c r="C11" s="110">
        <v>3.1432748433417299E-2</v>
      </c>
      <c r="D11" s="110">
        <v>3.1432748433417299E-2</v>
      </c>
      <c r="E11" s="110">
        <v>2.84406058201392E-2</v>
      </c>
      <c r="F11" s="110">
        <v>2.2845810092503499E-2</v>
      </c>
      <c r="G11" s="110">
        <v>1.06412444885274E-2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97" t="s">
        <v>111</v>
      </c>
      <c r="C13" s="22" t="s">
        <v>67</v>
      </c>
      <c r="D13" s="22" t="s">
        <v>77</v>
      </c>
      <c r="E13" s="22" t="s">
        <v>78</v>
      </c>
      <c r="F13" s="22" t="s">
        <v>79</v>
      </c>
      <c r="G13" s="22" t="s">
        <v>80</v>
      </c>
      <c r="H13" s="12" t="s">
        <v>112</v>
      </c>
      <c r="I13" s="12" t="s">
        <v>113</v>
      </c>
      <c r="J13" s="12" t="s">
        <v>114</v>
      </c>
      <c r="K13" s="12" t="s">
        <v>115</v>
      </c>
      <c r="L13" s="12" t="s">
        <v>58</v>
      </c>
      <c r="M13" s="12" t="s">
        <v>59</v>
      </c>
      <c r="N13" s="12" t="s">
        <v>60</v>
      </c>
      <c r="O13" s="12" t="s">
        <v>61</v>
      </c>
    </row>
    <row r="14" spans="1:15" ht="15.75" customHeight="1" x14ac:dyDescent="0.25">
      <c r="B14" s="22" t="s">
        <v>116</v>
      </c>
      <c r="C14" s="112">
        <v>0.62072485924999998</v>
      </c>
      <c r="D14" s="112">
        <v>0.60000760225000005</v>
      </c>
      <c r="E14" s="112">
        <v>0.60000760225000005</v>
      </c>
      <c r="F14" s="112">
        <v>0.365490115999</v>
      </c>
      <c r="G14" s="112">
        <v>0.365490115999</v>
      </c>
      <c r="H14" s="113">
        <v>0.34</v>
      </c>
      <c r="I14" s="113">
        <v>0.34</v>
      </c>
      <c r="J14" s="113">
        <v>0.34</v>
      </c>
      <c r="K14" s="113">
        <v>0.34</v>
      </c>
      <c r="L14" s="113">
        <v>0.3</v>
      </c>
      <c r="M14" s="113">
        <v>0.3</v>
      </c>
      <c r="N14" s="113">
        <v>0.3</v>
      </c>
      <c r="O14" s="113">
        <v>0.3</v>
      </c>
    </row>
    <row r="15" spans="1:15" ht="15.75" customHeight="1" x14ac:dyDescent="0.25">
      <c r="B15" s="22" t="s">
        <v>117</v>
      </c>
      <c r="C15" s="109">
        <f t="shared" ref="C15:O15" si="0">iron_deficiency_anaemia*C14</f>
        <v>0.33049067463589971</v>
      </c>
      <c r="D15" s="109">
        <f t="shared" si="0"/>
        <v>0.31946024764316078</v>
      </c>
      <c r="E15" s="109">
        <f t="shared" si="0"/>
        <v>0.31946024764316078</v>
      </c>
      <c r="F15" s="109">
        <f t="shared" si="0"/>
        <v>0.19459680599099957</v>
      </c>
      <c r="G15" s="109">
        <f t="shared" si="0"/>
        <v>0.19459680599099957</v>
      </c>
      <c r="H15" s="109">
        <f t="shared" si="0"/>
        <v>0.18102518000000001</v>
      </c>
      <c r="I15" s="109">
        <f t="shared" si="0"/>
        <v>0.18102518000000001</v>
      </c>
      <c r="J15" s="109">
        <f t="shared" si="0"/>
        <v>0.18102518000000001</v>
      </c>
      <c r="K15" s="109">
        <f t="shared" si="0"/>
        <v>0.18102518000000001</v>
      </c>
      <c r="L15" s="109">
        <f t="shared" si="0"/>
        <v>0.15972809999999998</v>
      </c>
      <c r="M15" s="109">
        <f t="shared" si="0"/>
        <v>0.15972809999999998</v>
      </c>
      <c r="N15" s="109">
        <f t="shared" si="0"/>
        <v>0.15972809999999998</v>
      </c>
      <c r="O15" s="109">
        <f t="shared" si="0"/>
        <v>0.15972809999999998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sheetProtection algorithmName="SHA-512" hashValue="Z38Ewn/rXEFw6tIf/2ro5WPguEJAVYkqqTc73jVJIOq1P/m6I8VuHcj/bQ9DsGQ/a/lJRstmVq1yVqKQQa/aHA==" saltValue="uCxitbKtig2df5V3xH7+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90625" defaultRowHeight="12.5" x14ac:dyDescent="0.25"/>
  <cols>
    <col min="1" max="1" width="28.90625" style="3" customWidth="1"/>
    <col min="2" max="7" width="13.453125" style="3" customWidth="1"/>
  </cols>
  <sheetData>
    <row r="1" spans="1:7" ht="40.5" customHeight="1" x14ac:dyDescent="0.3">
      <c r="A1" s="15" t="str">
        <f>"Porcentaje de niños en cada categoría en el año de referencia ("&amp;start_year&amp;")"</f>
        <v>Porcentaje de niños en cada categoría en el año de referencia (2021)</v>
      </c>
      <c r="B1" s="1" t="s">
        <v>100</v>
      </c>
      <c r="C1" s="97" t="s">
        <v>67</v>
      </c>
      <c r="D1" s="97" t="s">
        <v>77</v>
      </c>
      <c r="E1" s="97" t="s">
        <v>78</v>
      </c>
      <c r="F1" s="97" t="s">
        <v>79</v>
      </c>
      <c r="G1" s="97" t="s">
        <v>80</v>
      </c>
    </row>
    <row r="2" spans="1:7" x14ac:dyDescent="0.25">
      <c r="A2" s="4" t="s">
        <v>118</v>
      </c>
      <c r="B2" s="83" t="s">
        <v>119</v>
      </c>
      <c r="C2" s="110">
        <v>0.62221205093785004</v>
      </c>
      <c r="D2" s="110">
        <v>0.37241107866666701</v>
      </c>
      <c r="E2" s="110">
        <v>0</v>
      </c>
      <c r="F2" s="110">
        <v>0</v>
      </c>
      <c r="G2" s="110">
        <v>0</v>
      </c>
    </row>
    <row r="3" spans="1:7" x14ac:dyDescent="0.25">
      <c r="B3" s="83" t="s">
        <v>120</v>
      </c>
      <c r="C3" s="110">
        <v>0.20359075312680699</v>
      </c>
      <c r="D3" s="110">
        <v>0.21027029933333299</v>
      </c>
      <c r="E3" s="110">
        <v>0</v>
      </c>
      <c r="F3" s="110">
        <v>0</v>
      </c>
      <c r="G3" s="110">
        <v>0</v>
      </c>
    </row>
    <row r="4" spans="1:7" x14ac:dyDescent="0.25">
      <c r="B4" s="83" t="s">
        <v>121</v>
      </c>
      <c r="C4" s="110">
        <v>0.13437244141764701</v>
      </c>
      <c r="D4" s="110">
        <v>0.36252068333333298</v>
      </c>
      <c r="E4" s="110">
        <v>0.88757533497280505</v>
      </c>
      <c r="F4" s="110">
        <v>0.62121049563089992</v>
      </c>
      <c r="G4" s="110">
        <v>0</v>
      </c>
    </row>
    <row r="5" spans="1:7" x14ac:dyDescent="0.25">
      <c r="B5" s="83" t="s">
        <v>122</v>
      </c>
      <c r="C5" s="109">
        <v>3.9824759505240899E-2</v>
      </c>
      <c r="D5" s="109">
        <v>5.4797932049902902E-2</v>
      </c>
      <c r="E5" s="109">
        <f>1-SUM(E2:E4)</f>
        <v>0.11242466502719495</v>
      </c>
      <c r="F5" s="109">
        <f>1-SUM(F2:F4)</f>
        <v>0.37878950436910008</v>
      </c>
      <c r="G5" s="109">
        <f>1-SUM(G2:G4)</f>
        <v>1</v>
      </c>
    </row>
  </sheetData>
  <sheetProtection algorithmName="SHA-512" hashValue="qKwlPA0YGlthhPe5T3yWx1r9CaMIpeZAhjxit8ETIlBNuCBz2/OyfrpEv6rLjdvmvKh2AdW/NZLIuFMyd3a9wA==" saltValue="ZxQ65kH0KQW0lcoBr0xkp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style="3" customWidth="1"/>
    <col min="2" max="2" width="29.453125" style="3" customWidth="1"/>
  </cols>
  <sheetData>
    <row r="1" spans="1:11" ht="13" customHeight="1" x14ac:dyDescent="0.3">
      <c r="A1" s="31" t="s">
        <v>123</v>
      </c>
      <c r="B1" s="31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19" t="s">
        <v>126</v>
      </c>
      <c r="C2" s="114"/>
      <c r="D2" s="114"/>
      <c r="E2" s="114"/>
      <c r="F2" s="114"/>
      <c r="G2" s="114"/>
      <c r="H2" s="114"/>
      <c r="I2" s="114"/>
      <c r="J2" s="114"/>
      <c r="K2" s="114"/>
    </row>
    <row r="3" spans="1:11" x14ac:dyDescent="0.25">
      <c r="B3" s="19"/>
    </row>
    <row r="4" spans="1:11" x14ac:dyDescent="0.25">
      <c r="A4" t="s">
        <v>127</v>
      </c>
      <c r="B4" s="19" t="s">
        <v>126</v>
      </c>
      <c r="C4" s="114"/>
      <c r="D4" s="114"/>
      <c r="E4" s="114"/>
      <c r="F4" s="114"/>
      <c r="G4" s="114"/>
      <c r="H4" s="114"/>
      <c r="I4" s="114"/>
      <c r="J4" s="114"/>
      <c r="K4" s="114"/>
    </row>
    <row r="5" spans="1:11" x14ac:dyDescent="0.25">
      <c r="B5" s="19"/>
    </row>
    <row r="6" spans="1:11" x14ac:dyDescent="0.25">
      <c r="A6" t="s">
        <v>128</v>
      </c>
      <c r="B6" s="19" t="s">
        <v>126</v>
      </c>
      <c r="C6" s="114"/>
      <c r="D6" s="114"/>
      <c r="E6" s="114"/>
      <c r="F6" s="114"/>
      <c r="G6" s="114"/>
      <c r="H6" s="114"/>
      <c r="I6" s="114"/>
      <c r="J6" s="114"/>
      <c r="K6" s="114"/>
    </row>
    <row r="7" spans="1:11" x14ac:dyDescent="0.25">
      <c r="B7" s="19" t="s">
        <v>90</v>
      </c>
      <c r="C7" s="114"/>
      <c r="D7" s="114"/>
      <c r="E7" s="114"/>
      <c r="F7" s="114"/>
      <c r="G7" s="114"/>
      <c r="H7" s="114"/>
      <c r="I7" s="114"/>
      <c r="J7" s="114"/>
      <c r="K7" s="114"/>
    </row>
    <row r="8" spans="1:11" x14ac:dyDescent="0.25">
      <c r="B8" s="19" t="s">
        <v>129</v>
      </c>
      <c r="C8" s="114"/>
      <c r="D8" s="114"/>
      <c r="E8" s="114"/>
      <c r="F8" s="114"/>
      <c r="G8" s="114"/>
      <c r="H8" s="114"/>
      <c r="I8" s="114"/>
      <c r="J8" s="114"/>
      <c r="K8" s="114"/>
    </row>
    <row r="10" spans="1:11" x14ac:dyDescent="0.25">
      <c r="A10" t="s">
        <v>130</v>
      </c>
      <c r="B10" s="22" t="s">
        <v>131</v>
      </c>
      <c r="C10" s="114"/>
      <c r="D10" s="114"/>
      <c r="E10" s="114"/>
      <c r="F10" s="114"/>
      <c r="G10" s="114"/>
      <c r="H10" s="114"/>
      <c r="I10" s="114"/>
      <c r="J10" s="114"/>
      <c r="K10" s="114"/>
    </row>
    <row r="11" spans="1:11" x14ac:dyDescent="0.25">
      <c r="B11" s="22" t="s">
        <v>132</v>
      </c>
      <c r="C11" s="114"/>
      <c r="D11" s="114"/>
      <c r="E11" s="114"/>
      <c r="F11" s="114"/>
      <c r="G11" s="114"/>
      <c r="H11" s="114"/>
      <c r="I11" s="114"/>
      <c r="J11" s="114"/>
      <c r="K11" s="114"/>
    </row>
    <row r="13" spans="1:11" x14ac:dyDescent="0.25">
      <c r="A13" s="97" t="s">
        <v>32</v>
      </c>
      <c r="B13" s="22" t="s">
        <v>133</v>
      </c>
      <c r="C13" s="114"/>
      <c r="D13" s="114"/>
      <c r="E13" s="114"/>
      <c r="F13" s="114"/>
      <c r="G13" s="114"/>
      <c r="H13" s="114"/>
      <c r="I13" s="114"/>
      <c r="J13" s="114"/>
      <c r="K13" s="114"/>
    </row>
    <row r="14" spans="1:11" x14ac:dyDescent="0.25">
      <c r="B14" s="22" t="s">
        <v>134</v>
      </c>
      <c r="C14" s="114"/>
      <c r="D14" s="114"/>
      <c r="E14" s="114"/>
      <c r="F14" s="114"/>
      <c r="G14" s="114"/>
      <c r="H14" s="114"/>
      <c r="I14" s="114"/>
      <c r="J14" s="114"/>
      <c r="K14" s="114"/>
    </row>
  </sheetData>
  <sheetProtection algorithmName="SHA-512" hashValue="jkFD0CUaooZtIOY0V9wKVCxyIIdyzXWNSNpwDEE7LrAoCf7mX912xbp7jxxhg5AciWlta03iTx/EAnuddEQiYg==" saltValue="1+WPn6uRvNOvngz93L2Cw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I14" sqref="I14"/>
    </sheetView>
  </sheetViews>
  <sheetFormatPr defaultRowHeight="12.5" x14ac:dyDescent="0.25"/>
  <cols>
    <col min="1" max="1" width="36.453125" style="3" bestFit="1" customWidth="1"/>
    <col min="2" max="2" width="15.36328125" style="3" customWidth="1"/>
  </cols>
  <sheetData>
    <row r="1" spans="1:2" ht="13" customHeight="1" x14ac:dyDescent="0.3">
      <c r="A1" s="31" t="s">
        <v>135</v>
      </c>
      <c r="B1" s="31" t="s">
        <v>136</v>
      </c>
    </row>
    <row r="2" spans="1:2" x14ac:dyDescent="0.25">
      <c r="A2" s="97" t="s">
        <v>137</v>
      </c>
      <c r="B2" s="98">
        <v>10</v>
      </c>
    </row>
    <row r="3" spans="1:2" x14ac:dyDescent="0.25">
      <c r="A3" s="97" t="s">
        <v>138</v>
      </c>
      <c r="B3" s="98">
        <v>10</v>
      </c>
    </row>
    <row r="4" spans="1:2" x14ac:dyDescent="0.25">
      <c r="A4" s="97" t="s">
        <v>139</v>
      </c>
      <c r="B4" s="98">
        <v>50</v>
      </c>
    </row>
    <row r="5" spans="1:2" x14ac:dyDescent="0.25">
      <c r="A5" s="97" t="s">
        <v>140</v>
      </c>
      <c r="B5" s="98">
        <v>100</v>
      </c>
    </row>
    <row r="6" spans="1:2" x14ac:dyDescent="0.25">
      <c r="A6" s="97" t="s">
        <v>141</v>
      </c>
      <c r="B6" s="98">
        <v>5</v>
      </c>
    </row>
    <row r="7" spans="1:2" x14ac:dyDescent="0.25">
      <c r="A7" s="97" t="s">
        <v>142</v>
      </c>
      <c r="B7" s="98">
        <v>5</v>
      </c>
    </row>
  </sheetData>
  <sheetProtection algorithmName="SHA-512" hashValue="VFI3SbvsnttfBaDqLjxt0+PrwkEvq6mOwsxRTGX6rm/SblhCABE4p0P+/dSFQhEM0wZIgo9hiYryDue2UB0X/g==" saltValue="EP71L/+E721qjuMJKrjXk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53125" defaultRowHeight="12.5" x14ac:dyDescent="0.25"/>
  <cols>
    <col min="1" max="1" width="17" style="67" customWidth="1"/>
    <col min="2" max="2" width="19.08984375" style="67" customWidth="1"/>
    <col min="3" max="3" width="13.453125" style="67" customWidth="1"/>
    <col min="4" max="4" width="11.453125" style="67" customWidth="1"/>
    <col min="5" max="16384" width="11.453125" style="67"/>
  </cols>
  <sheetData>
    <row r="1" spans="1:5" ht="13" customHeight="1" x14ac:dyDescent="0.3">
      <c r="A1" s="27" t="s">
        <v>143</v>
      </c>
      <c r="B1" s="28" t="s">
        <v>144</v>
      </c>
      <c r="C1" s="28" t="s">
        <v>145</v>
      </c>
      <c r="D1" s="28" t="s">
        <v>146</v>
      </c>
      <c r="E1" s="28" t="s">
        <v>147</v>
      </c>
    </row>
    <row r="2" spans="1:5" ht="13" customHeight="1" x14ac:dyDescent="0.3">
      <c r="A2" s="26" t="s">
        <v>148</v>
      </c>
      <c r="B2" s="25" t="s">
        <v>90</v>
      </c>
      <c r="C2" s="115"/>
      <c r="D2" s="115"/>
      <c r="E2" s="116" t="str">
        <f>IF(E$7="","",E$7)</f>
        <v/>
      </c>
    </row>
    <row r="3" spans="1:5" x14ac:dyDescent="0.25">
      <c r="B3" s="25" t="s">
        <v>67</v>
      </c>
      <c r="C3" s="115" t="b">
        <v>1</v>
      </c>
      <c r="D3" s="115"/>
      <c r="E3" s="116" t="str">
        <f>IF(E$7="","",E$7)</f>
        <v/>
      </c>
    </row>
    <row r="4" spans="1:5" x14ac:dyDescent="0.25">
      <c r="B4" s="25" t="s">
        <v>77</v>
      </c>
      <c r="C4" s="115" t="b">
        <v>1</v>
      </c>
      <c r="D4" s="115"/>
      <c r="E4" s="116" t="str">
        <f>IF(E$7="","",E$7)</f>
        <v/>
      </c>
    </row>
    <row r="5" spans="1:5" x14ac:dyDescent="0.25">
      <c r="B5" s="25" t="s">
        <v>78</v>
      </c>
      <c r="C5" s="115" t="b">
        <v>1</v>
      </c>
      <c r="D5" s="115"/>
      <c r="E5" s="116" t="str">
        <f>IF(E$7="","",E$7)</f>
        <v/>
      </c>
    </row>
    <row r="6" spans="1:5" x14ac:dyDescent="0.25">
      <c r="B6" s="25" t="s">
        <v>79</v>
      </c>
      <c r="C6" s="115" t="b">
        <v>1</v>
      </c>
      <c r="D6" s="115"/>
      <c r="E6" s="116" t="str">
        <f>IF(E$7="","",E$7)</f>
        <v/>
      </c>
    </row>
    <row r="7" spans="1:5" x14ac:dyDescent="0.25">
      <c r="B7" s="25" t="s">
        <v>149</v>
      </c>
      <c r="C7" s="24"/>
      <c r="D7" s="23"/>
      <c r="E7" s="115"/>
    </row>
    <row r="9" spans="1:5" ht="13" customHeight="1" x14ac:dyDescent="0.3">
      <c r="A9" s="26" t="s">
        <v>150</v>
      </c>
      <c r="B9" s="25" t="s">
        <v>90</v>
      </c>
      <c r="C9" s="115"/>
      <c r="D9" s="115" t="b">
        <v>0</v>
      </c>
      <c r="E9" s="116" t="str">
        <f>IF(E$7="","",E$7)</f>
        <v/>
      </c>
    </row>
    <row r="10" spans="1:5" x14ac:dyDescent="0.25">
      <c r="B10" s="25" t="s">
        <v>67</v>
      </c>
      <c r="C10" s="115"/>
      <c r="D10" s="115"/>
      <c r="E10" s="116" t="str">
        <f>IF(E$7="","",E$7)</f>
        <v/>
      </c>
    </row>
    <row r="11" spans="1:5" x14ac:dyDescent="0.25">
      <c r="B11" s="25" t="s">
        <v>77</v>
      </c>
      <c r="C11" s="115"/>
      <c r="D11" s="115"/>
      <c r="E11" s="116" t="str">
        <f>IF(E$7="","",E$7)</f>
        <v/>
      </c>
    </row>
    <row r="12" spans="1:5" x14ac:dyDescent="0.25">
      <c r="B12" s="25" t="s">
        <v>78</v>
      </c>
      <c r="C12" s="115"/>
      <c r="D12" s="115"/>
      <c r="E12" s="116" t="str">
        <f>IF(E$7="","",E$7)</f>
        <v/>
      </c>
    </row>
    <row r="13" spans="1:5" x14ac:dyDescent="0.25">
      <c r="B13" s="25" t="s">
        <v>79</v>
      </c>
      <c r="C13" s="115"/>
      <c r="D13" s="115"/>
      <c r="E13" s="116" t="str">
        <f>IF(E$7="","",E$7)</f>
        <v/>
      </c>
    </row>
    <row r="14" spans="1:5" x14ac:dyDescent="0.25">
      <c r="B14" s="25" t="s">
        <v>149</v>
      </c>
      <c r="C14" s="24"/>
      <c r="D14" s="23"/>
      <c r="E14" s="115" t="s">
        <v>151</v>
      </c>
    </row>
    <row r="16" spans="1:5" ht="13" customHeight="1" x14ac:dyDescent="0.3">
      <c r="A16" s="26" t="s">
        <v>152</v>
      </c>
      <c r="B16" s="25" t="s">
        <v>90</v>
      </c>
      <c r="C16" s="115"/>
      <c r="D16" s="115" t="s">
        <v>151</v>
      </c>
      <c r="E16" s="116" t="str">
        <f>IF(E$7="","",E$7)</f>
        <v/>
      </c>
    </row>
    <row r="17" spans="2:5" x14ac:dyDescent="0.25">
      <c r="B17" s="25" t="s">
        <v>67</v>
      </c>
      <c r="C17" s="115"/>
      <c r="D17" s="115" t="s">
        <v>151</v>
      </c>
      <c r="E17" s="116" t="str">
        <f>IF(E$7="","",E$7)</f>
        <v/>
      </c>
    </row>
    <row r="18" spans="2:5" x14ac:dyDescent="0.25">
      <c r="B18" s="25" t="s">
        <v>77</v>
      </c>
      <c r="C18" s="115"/>
      <c r="D18" s="115" t="s">
        <v>151</v>
      </c>
      <c r="E18" s="116" t="str">
        <f>IF(E$7="","",E$7)</f>
        <v/>
      </c>
    </row>
    <row r="19" spans="2:5" x14ac:dyDescent="0.25">
      <c r="B19" s="25" t="s">
        <v>78</v>
      </c>
      <c r="C19" s="115"/>
      <c r="D19" s="115" t="s">
        <v>151</v>
      </c>
      <c r="E19" s="116" t="str">
        <f>IF(E$7="","",E$7)</f>
        <v/>
      </c>
    </row>
    <row r="20" spans="2:5" x14ac:dyDescent="0.25">
      <c r="B20" s="25" t="s">
        <v>79</v>
      </c>
      <c r="C20" s="115"/>
      <c r="D20" s="115" t="s">
        <v>151</v>
      </c>
      <c r="E20" s="116" t="str">
        <f>IF(E$7="","",E$7)</f>
        <v/>
      </c>
    </row>
    <row r="21" spans="2:5" x14ac:dyDescent="0.25">
      <c r="B21" s="25" t="s">
        <v>149</v>
      </c>
      <c r="C21" s="24"/>
      <c r="D21" s="23"/>
      <c r="E21" s="115"/>
    </row>
  </sheetData>
  <sheetProtection algorithmName="SHA-512" hashValue="PQRX0CEeWDpeTBCUN2SelM9Ko9YbR1IYBfrqil/SKw+AxR7bLEQJ8DC3iEctLkCiZ0B7xTMXzkCXB/sVl65FQA==" saltValue="EO8GigN/nbuZgDu/A2p+S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style="3" customWidth="1"/>
    <col min="2" max="2" width="15.453125" style="3" customWidth="1"/>
    <col min="3" max="3" width="17.453125" style="3" customWidth="1"/>
    <col min="4" max="4" width="12.90625" style="3" customWidth="1"/>
  </cols>
  <sheetData>
    <row r="1" spans="1:4" ht="13" customHeight="1" x14ac:dyDescent="0.3">
      <c r="A1" s="32" t="s">
        <v>1</v>
      </c>
      <c r="B1" s="28" t="s">
        <v>153</v>
      </c>
      <c r="C1" s="33" t="s">
        <v>154</v>
      </c>
      <c r="D1" s="33" t="s">
        <v>155</v>
      </c>
    </row>
    <row r="2" spans="1:4" ht="13" customHeight="1" x14ac:dyDescent="0.3">
      <c r="A2" s="33" t="s">
        <v>156</v>
      </c>
      <c r="B2" s="25" t="s">
        <v>157</v>
      </c>
      <c r="C2" s="25" t="s">
        <v>158</v>
      </c>
      <c r="D2" s="115"/>
    </row>
    <row r="3" spans="1:4" ht="13" customHeight="1" x14ac:dyDescent="0.3">
      <c r="A3" s="33" t="s">
        <v>159</v>
      </c>
      <c r="B3" s="25" t="s">
        <v>145</v>
      </c>
      <c r="C3" s="25" t="s">
        <v>160</v>
      </c>
      <c r="D3" s="115"/>
    </row>
  </sheetData>
  <sheetProtection algorithmName="SHA-512" hashValue="lmfrLqh5RoPvdMZBL53twoMOfKAJ57O7ByFy7jTKIytCEoSSCTl6vqWZ45RqO6K5uRDTZHkV9bznaUQs16YyGw==" saltValue="TaZMfX+trPG4kb+wrNLme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F19" sqref="F19"/>
    </sheetView>
  </sheetViews>
  <sheetFormatPr defaultColWidth="14.453125" defaultRowHeight="15.75" customHeight="1" x14ac:dyDescent="0.25"/>
  <cols>
    <col min="1" max="1" width="56" style="29" customWidth="1"/>
    <col min="2" max="2" width="20" style="67" customWidth="1"/>
    <col min="3" max="3" width="20.453125" style="67" customWidth="1"/>
    <col min="4" max="4" width="20.08984375" style="67" customWidth="1"/>
    <col min="5" max="5" width="36.36328125" style="67" bestFit="1" customWidth="1"/>
    <col min="6" max="6" width="23" style="67" bestFit="1" customWidth="1"/>
    <col min="7" max="7" width="22.6328125" style="67" bestFit="1" customWidth="1"/>
    <col min="8" max="8" width="14.453125" style="67" customWidth="1"/>
    <col min="9" max="16384" width="14.453125" style="67"/>
  </cols>
  <sheetData>
    <row r="1" spans="1:7" ht="39" customHeight="1" x14ac:dyDescent="0.3">
      <c r="A1" s="76" t="s">
        <v>156</v>
      </c>
      <c r="B1" s="34" t="str">
        <f>"Cobertura de referencia ("&amp;start_year&amp;")"</f>
        <v>Cobertura de referencia (2021)</v>
      </c>
      <c r="C1" s="34" t="s">
        <v>161</v>
      </c>
      <c r="D1" s="34" t="s">
        <v>162</v>
      </c>
      <c r="E1" s="34" t="s">
        <v>163</v>
      </c>
      <c r="F1" s="34" t="s">
        <v>164</v>
      </c>
      <c r="G1" s="34" t="s">
        <v>165</v>
      </c>
    </row>
    <row r="2" spans="1:7" ht="15.75" customHeight="1" x14ac:dyDescent="0.25">
      <c r="A2" s="29" t="s">
        <v>166</v>
      </c>
      <c r="B2" s="39">
        <v>0.56819832724999997</v>
      </c>
      <c r="C2" s="99">
        <v>0.95</v>
      </c>
      <c r="D2" s="100">
        <v>75.762459741294762</v>
      </c>
      <c r="E2" s="46" t="s">
        <v>167</v>
      </c>
      <c r="F2" s="45">
        <v>1</v>
      </c>
      <c r="G2" s="45">
        <v>1</v>
      </c>
    </row>
    <row r="3" spans="1:7" ht="15.75" customHeight="1" x14ac:dyDescent="0.25">
      <c r="A3" s="29" t="s">
        <v>168</v>
      </c>
      <c r="B3" s="39">
        <v>0</v>
      </c>
      <c r="C3" s="99">
        <v>0.95</v>
      </c>
      <c r="D3" s="100">
        <v>40.277595090905891</v>
      </c>
      <c r="E3" s="46" t="s">
        <v>167</v>
      </c>
      <c r="F3" s="45">
        <v>1</v>
      </c>
      <c r="G3" s="45">
        <v>1</v>
      </c>
    </row>
    <row r="4" spans="1:7" ht="15.75" customHeight="1" x14ac:dyDescent="0.25">
      <c r="A4" s="29" t="s">
        <v>169</v>
      </c>
      <c r="B4" s="101">
        <v>0</v>
      </c>
      <c r="C4" s="99">
        <v>0.95</v>
      </c>
      <c r="D4" s="100">
        <v>692.41497754805209</v>
      </c>
      <c r="E4" s="46" t="s">
        <v>167</v>
      </c>
      <c r="F4" s="45">
        <v>1</v>
      </c>
      <c r="G4" s="45">
        <v>1</v>
      </c>
    </row>
    <row r="5" spans="1:7" ht="15.75" customHeight="1" x14ac:dyDescent="0.25">
      <c r="A5" s="29" t="s">
        <v>170</v>
      </c>
      <c r="B5" s="101">
        <v>0</v>
      </c>
      <c r="C5" s="99">
        <v>0.95</v>
      </c>
      <c r="D5" s="100">
        <v>1.948123472199554</v>
      </c>
      <c r="E5" s="46" t="s">
        <v>167</v>
      </c>
      <c r="F5" s="45">
        <v>1</v>
      </c>
      <c r="G5" s="45">
        <v>1</v>
      </c>
    </row>
    <row r="6" spans="1:7" ht="15.75" customHeight="1" x14ac:dyDescent="0.25">
      <c r="A6" s="29" t="s">
        <v>171</v>
      </c>
      <c r="B6" s="101">
        <v>0</v>
      </c>
      <c r="C6" s="99">
        <v>0.95</v>
      </c>
      <c r="D6" s="100">
        <v>99.99</v>
      </c>
      <c r="E6" s="46" t="s">
        <v>167</v>
      </c>
      <c r="F6" s="45">
        <v>1</v>
      </c>
      <c r="G6" s="45">
        <v>1</v>
      </c>
    </row>
    <row r="7" spans="1:7" ht="15.75" customHeight="1" x14ac:dyDescent="0.25">
      <c r="A7" s="29" t="s">
        <v>172</v>
      </c>
      <c r="B7" s="101">
        <v>0</v>
      </c>
      <c r="C7" s="99">
        <v>0.95</v>
      </c>
      <c r="D7" s="100">
        <v>99.99</v>
      </c>
      <c r="E7" s="46" t="s">
        <v>167</v>
      </c>
      <c r="F7" s="45">
        <v>1</v>
      </c>
      <c r="G7" s="45">
        <v>1</v>
      </c>
    </row>
    <row r="8" spans="1:7" ht="15.75" customHeight="1" x14ac:dyDescent="0.25">
      <c r="A8" s="29" t="s">
        <v>173</v>
      </c>
      <c r="B8" s="101">
        <v>0</v>
      </c>
      <c r="C8" s="99">
        <v>0.95</v>
      </c>
      <c r="D8" s="100">
        <v>99.99</v>
      </c>
      <c r="E8" s="46" t="s">
        <v>167</v>
      </c>
      <c r="F8" s="45">
        <v>1</v>
      </c>
      <c r="G8" s="45">
        <v>1</v>
      </c>
    </row>
    <row r="9" spans="1:7" ht="15.75" customHeight="1" x14ac:dyDescent="0.25">
      <c r="A9" s="29" t="s">
        <v>174</v>
      </c>
      <c r="B9" s="101">
        <v>0</v>
      </c>
      <c r="C9" s="99">
        <v>0.95</v>
      </c>
      <c r="D9" s="100">
        <v>99.99</v>
      </c>
      <c r="E9" s="46" t="s">
        <v>167</v>
      </c>
      <c r="F9" s="45">
        <v>1</v>
      </c>
      <c r="G9" s="45">
        <v>1</v>
      </c>
    </row>
    <row r="10" spans="1:7" ht="15.75" customHeight="1" x14ac:dyDescent="0.25">
      <c r="A10" s="71" t="s">
        <v>175</v>
      </c>
      <c r="B10" s="39">
        <v>0.17607158440000001</v>
      </c>
      <c r="C10" s="99">
        <v>0.95</v>
      </c>
      <c r="D10" s="100">
        <v>13.409894534701801</v>
      </c>
      <c r="E10" s="46" t="s">
        <v>167</v>
      </c>
      <c r="F10" s="45">
        <v>1</v>
      </c>
      <c r="G10" s="45">
        <v>1</v>
      </c>
    </row>
    <row r="11" spans="1:7" ht="15.75" customHeight="1" x14ac:dyDescent="0.25">
      <c r="A11" s="71" t="s">
        <v>176</v>
      </c>
      <c r="B11" s="101">
        <v>0.17607158440000001</v>
      </c>
      <c r="C11" s="99">
        <v>0.95</v>
      </c>
      <c r="D11" s="100">
        <v>13.409894534701801</v>
      </c>
      <c r="E11" s="46" t="s">
        <v>167</v>
      </c>
      <c r="F11" s="45">
        <v>1</v>
      </c>
      <c r="G11" s="45">
        <v>1</v>
      </c>
    </row>
    <row r="12" spans="1:7" ht="15.75" customHeight="1" x14ac:dyDescent="0.25">
      <c r="A12" s="71" t="s">
        <v>177</v>
      </c>
      <c r="B12" s="101">
        <v>0.17607158440000001</v>
      </c>
      <c r="C12" s="99">
        <v>0.95</v>
      </c>
      <c r="D12" s="100">
        <v>13.409894534701801</v>
      </c>
      <c r="E12" s="46" t="s">
        <v>167</v>
      </c>
      <c r="F12" s="45">
        <v>1</v>
      </c>
      <c r="G12" s="45">
        <v>1</v>
      </c>
    </row>
    <row r="13" spans="1:7" ht="15.75" customHeight="1" x14ac:dyDescent="0.25">
      <c r="A13" s="71" t="s">
        <v>178</v>
      </c>
      <c r="B13" s="101">
        <v>0.17607158440000001</v>
      </c>
      <c r="C13" s="99">
        <v>0.95</v>
      </c>
      <c r="D13" s="100">
        <v>13.409894534701801</v>
      </c>
      <c r="E13" s="46" t="s">
        <v>167</v>
      </c>
      <c r="F13" s="45">
        <v>1</v>
      </c>
      <c r="G13" s="45">
        <v>1</v>
      </c>
    </row>
    <row r="14" spans="1:7" ht="15.75" customHeight="1" x14ac:dyDescent="0.25">
      <c r="A14" s="7" t="s">
        <v>179</v>
      </c>
      <c r="B14" s="39">
        <v>0.17607158440000001</v>
      </c>
      <c r="C14" s="99">
        <v>0.95</v>
      </c>
      <c r="D14" s="100">
        <v>13.409894534701801</v>
      </c>
      <c r="E14" s="46" t="s">
        <v>167</v>
      </c>
      <c r="F14" s="45">
        <v>1</v>
      </c>
      <c r="G14" s="45">
        <v>1</v>
      </c>
    </row>
    <row r="15" spans="1:7" ht="15.75" customHeight="1" x14ac:dyDescent="0.25">
      <c r="A15" s="7" t="s">
        <v>180</v>
      </c>
      <c r="B15" s="101">
        <v>0.17607158440000001</v>
      </c>
      <c r="C15" s="99">
        <v>0.95</v>
      </c>
      <c r="D15" s="100">
        <v>13.409894534701801</v>
      </c>
      <c r="E15" s="46" t="s">
        <v>167</v>
      </c>
      <c r="F15" s="45">
        <v>1</v>
      </c>
      <c r="G15" s="45">
        <v>1</v>
      </c>
    </row>
    <row r="16" spans="1:7" ht="15.75" customHeight="1" x14ac:dyDescent="0.25">
      <c r="A16" s="29" t="s">
        <v>181</v>
      </c>
      <c r="B16" s="39">
        <v>0</v>
      </c>
      <c r="C16" s="99">
        <v>0.95</v>
      </c>
      <c r="D16" s="100">
        <v>1.1166603345971491</v>
      </c>
      <c r="E16" s="46" t="s">
        <v>167</v>
      </c>
      <c r="F16" s="45">
        <v>1</v>
      </c>
      <c r="G16" s="45">
        <v>1</v>
      </c>
    </row>
    <row r="17" spans="1:7" ht="15.75" customHeight="1" x14ac:dyDescent="0.25">
      <c r="A17" s="29" t="s">
        <v>182</v>
      </c>
      <c r="B17" s="101">
        <v>0</v>
      </c>
      <c r="C17" s="99">
        <v>0.95</v>
      </c>
      <c r="D17" s="100">
        <v>0.1369044839662158</v>
      </c>
      <c r="E17" s="46" t="s">
        <v>167</v>
      </c>
      <c r="F17" s="45">
        <v>1</v>
      </c>
      <c r="G17" s="45">
        <v>1</v>
      </c>
    </row>
    <row r="18" spans="1:7" ht="15.9" customHeight="1" x14ac:dyDescent="0.25">
      <c r="A18" s="29" t="s">
        <v>148</v>
      </c>
      <c r="B18" s="101">
        <v>0.86</v>
      </c>
      <c r="C18" s="99">
        <v>0.95</v>
      </c>
      <c r="D18" s="100">
        <v>15.87897005630612</v>
      </c>
      <c r="E18" s="46" t="s">
        <v>167</v>
      </c>
      <c r="F18" s="45">
        <v>1</v>
      </c>
      <c r="G18" s="45">
        <v>1</v>
      </c>
    </row>
    <row r="19" spans="1:7" ht="15.75" customHeight="1" x14ac:dyDescent="0.25">
      <c r="A19" s="29" t="s">
        <v>150</v>
      </c>
      <c r="B19" s="101">
        <v>0</v>
      </c>
      <c r="C19" s="99">
        <v>0.95</v>
      </c>
      <c r="D19" s="100">
        <v>15.87897005630612</v>
      </c>
      <c r="E19" s="46" t="s">
        <v>167</v>
      </c>
      <c r="F19" s="45">
        <v>1</v>
      </c>
      <c r="G19" s="45">
        <v>1</v>
      </c>
    </row>
    <row r="20" spans="1:7" ht="15.75" customHeight="1" x14ac:dyDescent="0.25">
      <c r="A20" s="29" t="s">
        <v>152</v>
      </c>
      <c r="B20" s="101">
        <v>0</v>
      </c>
      <c r="C20" s="99">
        <v>0.95</v>
      </c>
      <c r="D20" s="100">
        <v>99.99</v>
      </c>
      <c r="E20" s="46" t="s">
        <v>167</v>
      </c>
      <c r="F20" s="45">
        <v>1</v>
      </c>
      <c r="G20" s="45">
        <v>1</v>
      </c>
    </row>
    <row r="21" spans="1:7" ht="15.75" customHeight="1" x14ac:dyDescent="0.25">
      <c r="A21" s="29" t="s">
        <v>183</v>
      </c>
      <c r="B21" s="39">
        <v>0.93799999999999994</v>
      </c>
      <c r="C21" s="99">
        <v>0.95</v>
      </c>
      <c r="D21" s="100">
        <v>16.240204677311851</v>
      </c>
      <c r="E21" s="46" t="s">
        <v>167</v>
      </c>
      <c r="F21" s="45">
        <v>1</v>
      </c>
      <c r="G21" s="45">
        <v>1</v>
      </c>
    </row>
    <row r="22" spans="1:7" ht="15.75" customHeight="1" x14ac:dyDescent="0.25">
      <c r="A22" s="29" t="s">
        <v>184</v>
      </c>
      <c r="B22" s="101">
        <v>0</v>
      </c>
      <c r="C22" s="99">
        <v>0.95</v>
      </c>
      <c r="D22" s="100">
        <v>23.349725533539811</v>
      </c>
      <c r="E22" s="46" t="s">
        <v>167</v>
      </c>
      <c r="F22" s="45">
        <v>1</v>
      </c>
      <c r="G22" s="45">
        <v>1</v>
      </c>
    </row>
    <row r="23" spans="1:7" ht="15.75" customHeight="1" x14ac:dyDescent="0.25">
      <c r="A23" s="29" t="s">
        <v>185</v>
      </c>
      <c r="B23" s="101">
        <v>0</v>
      </c>
      <c r="C23" s="99">
        <v>0.95</v>
      </c>
      <c r="D23" s="100">
        <v>4.5279095940423639</v>
      </c>
      <c r="E23" s="46" t="s">
        <v>167</v>
      </c>
      <c r="F23" s="45">
        <v>1</v>
      </c>
      <c r="G23" s="45">
        <v>1</v>
      </c>
    </row>
    <row r="24" spans="1:7" ht="15.75" customHeight="1" x14ac:dyDescent="0.25">
      <c r="A24" s="29" t="s">
        <v>186</v>
      </c>
      <c r="B24" s="39">
        <v>0.237106702</v>
      </c>
      <c r="C24" s="99">
        <v>0.95</v>
      </c>
      <c r="D24" s="100">
        <v>99.99</v>
      </c>
      <c r="E24" s="46" t="s">
        <v>167</v>
      </c>
      <c r="F24" s="45">
        <v>1</v>
      </c>
      <c r="G24" s="45">
        <v>1</v>
      </c>
    </row>
    <row r="25" spans="1:7" ht="15.75" customHeight="1" x14ac:dyDescent="0.25">
      <c r="A25" s="29" t="s">
        <v>187</v>
      </c>
      <c r="B25" s="101">
        <v>0</v>
      </c>
      <c r="C25" s="99">
        <v>0.95</v>
      </c>
      <c r="D25" s="100">
        <v>99.99</v>
      </c>
      <c r="E25" s="46" t="s">
        <v>167</v>
      </c>
      <c r="F25" s="45">
        <v>1</v>
      </c>
      <c r="G25" s="45">
        <v>1</v>
      </c>
    </row>
    <row r="26" spans="1:7" ht="15.75" customHeight="1" x14ac:dyDescent="0.25">
      <c r="A26" s="29" t="s">
        <v>188</v>
      </c>
      <c r="B26" s="39">
        <v>0</v>
      </c>
      <c r="C26" s="99">
        <v>0.95</v>
      </c>
      <c r="D26" s="100">
        <v>99.99</v>
      </c>
      <c r="E26" s="46" t="s">
        <v>167</v>
      </c>
      <c r="F26" s="45">
        <v>1</v>
      </c>
      <c r="G26" s="45">
        <v>1</v>
      </c>
    </row>
    <row r="27" spans="1:7" ht="15.75" customHeight="1" x14ac:dyDescent="0.25">
      <c r="A27" s="29" t="s">
        <v>189</v>
      </c>
      <c r="B27" s="39">
        <v>0.1373248379</v>
      </c>
      <c r="C27" s="99">
        <v>0.95</v>
      </c>
      <c r="D27" s="100">
        <v>18.982269813808941</v>
      </c>
      <c r="E27" s="46" t="s">
        <v>167</v>
      </c>
      <c r="F27" s="45">
        <v>1</v>
      </c>
      <c r="G27" s="45">
        <v>1</v>
      </c>
    </row>
    <row r="28" spans="1:7" ht="15.75" customHeight="1" x14ac:dyDescent="0.25">
      <c r="A28" s="29" t="s">
        <v>190</v>
      </c>
      <c r="B28" s="39">
        <v>0</v>
      </c>
      <c r="C28" s="99">
        <v>0.95</v>
      </c>
      <c r="D28" s="100">
        <v>99.99</v>
      </c>
      <c r="E28" s="46" t="s">
        <v>167</v>
      </c>
      <c r="F28" s="45">
        <v>1</v>
      </c>
      <c r="G28" s="45">
        <v>1</v>
      </c>
    </row>
    <row r="29" spans="1:7" ht="15.75" customHeight="1" x14ac:dyDescent="0.25">
      <c r="A29" s="29" t="s">
        <v>191</v>
      </c>
      <c r="B29" s="39">
        <v>0.77269224784366697</v>
      </c>
      <c r="C29" s="99">
        <v>0.95</v>
      </c>
      <c r="D29" s="100">
        <v>154.12104998731229</v>
      </c>
      <c r="E29" s="46" t="s">
        <v>167</v>
      </c>
      <c r="F29" s="45">
        <v>1</v>
      </c>
      <c r="G29" s="45">
        <v>1</v>
      </c>
    </row>
    <row r="30" spans="1:7" ht="15.75" customHeight="1" x14ac:dyDescent="0.25">
      <c r="A30" s="29" t="s">
        <v>192</v>
      </c>
      <c r="B30" s="101">
        <v>0</v>
      </c>
      <c r="C30" s="99">
        <v>0.95</v>
      </c>
      <c r="D30" s="100">
        <v>99</v>
      </c>
      <c r="E30" s="46" t="s">
        <v>167</v>
      </c>
      <c r="F30" s="45">
        <v>1</v>
      </c>
      <c r="G30" s="45">
        <v>1</v>
      </c>
    </row>
    <row r="31" spans="1:7" ht="15.75" customHeight="1" x14ac:dyDescent="0.25">
      <c r="A31" s="29" t="s">
        <v>157</v>
      </c>
      <c r="B31" s="39">
        <v>0</v>
      </c>
      <c r="C31" s="99">
        <v>0.95</v>
      </c>
      <c r="D31" s="100">
        <v>2.5851124882101071</v>
      </c>
      <c r="E31" s="46" t="s">
        <v>167</v>
      </c>
      <c r="F31" s="45">
        <v>1</v>
      </c>
      <c r="G31" s="45">
        <v>1</v>
      </c>
    </row>
    <row r="32" spans="1:7" ht="15.75" customHeight="1" x14ac:dyDescent="0.25">
      <c r="A32" s="29" t="s">
        <v>193</v>
      </c>
      <c r="B32" s="39">
        <v>0</v>
      </c>
      <c r="C32" s="99">
        <v>0.95</v>
      </c>
      <c r="D32" s="100">
        <v>2.4385423103594892</v>
      </c>
      <c r="E32" s="46" t="s">
        <v>167</v>
      </c>
      <c r="F32" s="45">
        <v>1</v>
      </c>
      <c r="G32" s="45">
        <v>1</v>
      </c>
    </row>
    <row r="33" spans="1:7" ht="15.75" customHeight="1" x14ac:dyDescent="0.25">
      <c r="A33" s="29" t="s">
        <v>194</v>
      </c>
      <c r="B33" s="39">
        <v>0</v>
      </c>
      <c r="C33" s="99">
        <v>0.95</v>
      </c>
      <c r="D33" s="100">
        <v>99.99</v>
      </c>
      <c r="E33" s="46" t="s">
        <v>167</v>
      </c>
      <c r="F33" s="45">
        <v>1</v>
      </c>
      <c r="G33" s="45">
        <v>1</v>
      </c>
    </row>
    <row r="34" spans="1:7" ht="15.75" customHeight="1" x14ac:dyDescent="0.25">
      <c r="A34" s="29" t="s">
        <v>195</v>
      </c>
      <c r="B34" s="39">
        <v>0</v>
      </c>
      <c r="C34" s="99">
        <v>0.95</v>
      </c>
      <c r="D34" s="100">
        <v>99.99</v>
      </c>
      <c r="E34" s="46" t="s">
        <v>167</v>
      </c>
      <c r="F34" s="45">
        <v>1</v>
      </c>
      <c r="G34" s="45">
        <v>1</v>
      </c>
    </row>
    <row r="35" spans="1:7" ht="15.75" customHeight="1" x14ac:dyDescent="0.25">
      <c r="A35" s="29" t="s">
        <v>196</v>
      </c>
      <c r="B35" s="101">
        <v>0</v>
      </c>
      <c r="C35" s="99">
        <v>0.95</v>
      </c>
      <c r="D35" s="100">
        <v>99.99</v>
      </c>
      <c r="E35" s="46" t="s">
        <v>167</v>
      </c>
      <c r="F35" s="45">
        <v>1</v>
      </c>
      <c r="G35" s="45">
        <v>1</v>
      </c>
    </row>
    <row r="36" spans="1:7" ht="15.75" customHeight="1" x14ac:dyDescent="0.25">
      <c r="A36" s="29" t="s">
        <v>197</v>
      </c>
      <c r="B36" s="39">
        <v>0</v>
      </c>
      <c r="C36" s="99">
        <v>0.95</v>
      </c>
      <c r="D36" s="100">
        <v>99.99</v>
      </c>
      <c r="E36" s="46" t="s">
        <v>167</v>
      </c>
      <c r="F36" s="45">
        <v>1</v>
      </c>
      <c r="G36" s="45">
        <v>1</v>
      </c>
    </row>
    <row r="37" spans="1:7" ht="15.75" customHeight="1" x14ac:dyDescent="0.25">
      <c r="A37" s="29" t="s">
        <v>198</v>
      </c>
      <c r="B37" s="39">
        <v>0</v>
      </c>
      <c r="C37" s="99">
        <v>0.95</v>
      </c>
      <c r="D37" s="100">
        <v>99.99</v>
      </c>
      <c r="E37" s="46" t="s">
        <v>167</v>
      </c>
      <c r="F37" s="45">
        <v>1</v>
      </c>
      <c r="G37" s="45">
        <v>1</v>
      </c>
    </row>
    <row r="38" spans="1:7" ht="15.75" customHeight="1" x14ac:dyDescent="0.25">
      <c r="A38" s="29" t="s">
        <v>199</v>
      </c>
      <c r="B38" s="39">
        <v>0</v>
      </c>
      <c r="C38" s="99">
        <v>0.95</v>
      </c>
      <c r="D38" s="100">
        <v>3.2209000111311989</v>
      </c>
      <c r="E38" s="46" t="s">
        <v>167</v>
      </c>
      <c r="F38" s="45">
        <v>1</v>
      </c>
      <c r="G38" s="45">
        <v>1</v>
      </c>
    </row>
    <row r="39" spans="1:7" ht="15.75" customHeight="1" x14ac:dyDescent="0.25">
      <c r="A39" s="29" t="s">
        <v>200</v>
      </c>
      <c r="B39" s="39">
        <v>0.90424671965027803</v>
      </c>
      <c r="C39" s="99">
        <v>0.95</v>
      </c>
      <c r="D39" s="100">
        <v>99.99</v>
      </c>
      <c r="E39" s="46" t="s">
        <v>167</v>
      </c>
      <c r="F39" s="45">
        <v>1</v>
      </c>
      <c r="G39" s="45">
        <v>1</v>
      </c>
    </row>
  </sheetData>
  <sheetProtection algorithmName="SHA-512" hashValue="S/JdetLFuL1LEZfvUKK4tV8U6FeBXVAsQMCDCoEcsHyplia/iJEOFwWLbZIDuKKlVGT4wVw5pV7hHstfKzGoHQ==" saltValue="xOgjURn8LE5m3cV1U+GNb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53125" defaultRowHeight="12.5" x14ac:dyDescent="0.25"/>
  <cols>
    <col min="1" max="1" width="53" style="29" bestFit="1" customWidth="1"/>
    <col min="2" max="2" width="47.90625" style="67" customWidth="1"/>
    <col min="3" max="3" width="42.453125" style="67" customWidth="1"/>
    <col min="4" max="4" width="11.453125" style="67" customWidth="1"/>
    <col min="5" max="16384" width="11.453125" style="67"/>
  </cols>
  <sheetData>
    <row r="1" spans="1:3" ht="13" customHeight="1" x14ac:dyDescent="0.3">
      <c r="A1" s="57" t="s">
        <v>156</v>
      </c>
      <c r="B1" s="57" t="s">
        <v>201</v>
      </c>
      <c r="C1" s="57" t="s">
        <v>202</v>
      </c>
    </row>
    <row r="2" spans="1:3" x14ac:dyDescent="0.25">
      <c r="A2" s="47" t="s">
        <v>179</v>
      </c>
      <c r="B2" s="115" t="s">
        <v>189</v>
      </c>
      <c r="C2" s="115"/>
    </row>
    <row r="3" spans="1:3" x14ac:dyDescent="0.25">
      <c r="A3" s="47" t="s">
        <v>180</v>
      </c>
      <c r="B3" s="115" t="s">
        <v>189</v>
      </c>
      <c r="C3" s="115"/>
    </row>
    <row r="4" spans="1:3" x14ac:dyDescent="0.25">
      <c r="A4" s="48" t="s">
        <v>191</v>
      </c>
      <c r="B4" s="115" t="s">
        <v>184</v>
      </c>
      <c r="C4" s="115"/>
    </row>
    <row r="5" spans="1:3" x14ac:dyDescent="0.25">
      <c r="A5" s="48" t="s">
        <v>188</v>
      </c>
      <c r="B5" s="115" t="s">
        <v>184</v>
      </c>
      <c r="C5" s="115"/>
    </row>
    <row r="6" spans="1:3" x14ac:dyDescent="0.25">
      <c r="A6" s="48"/>
      <c r="B6" s="49"/>
      <c r="C6" s="49"/>
    </row>
    <row r="7" spans="1:3" x14ac:dyDescent="0.25">
      <c r="A7" s="48"/>
      <c r="B7" s="49"/>
      <c r="C7" s="49"/>
    </row>
    <row r="8" spans="1:3" x14ac:dyDescent="0.25">
      <c r="A8" s="48"/>
      <c r="B8" s="49"/>
      <c r="C8" s="49"/>
    </row>
    <row r="9" spans="1:3" x14ac:dyDescent="0.25">
      <c r="A9" s="48"/>
      <c r="B9" s="49"/>
      <c r="C9" s="49"/>
    </row>
    <row r="10" spans="1:3" x14ac:dyDescent="0.25">
      <c r="A10" s="48"/>
      <c r="B10" s="49"/>
      <c r="C10" s="49"/>
    </row>
    <row r="11" spans="1:3" x14ac:dyDescent="0.25">
      <c r="A11" s="50"/>
      <c r="B11" s="49"/>
      <c r="C11" s="49"/>
    </row>
    <row r="12" spans="1:3" x14ac:dyDescent="0.25">
      <c r="A12" s="50"/>
      <c r="B12" s="49"/>
      <c r="C12" s="49"/>
    </row>
    <row r="13" spans="1:3" x14ac:dyDescent="0.25">
      <c r="A13" s="50"/>
      <c r="B13" s="49"/>
      <c r="C13" s="49"/>
    </row>
    <row r="14" spans="1:3" x14ac:dyDescent="0.25">
      <c r="A14" s="50"/>
      <c r="B14" s="49"/>
      <c r="C14" s="49"/>
    </row>
    <row r="15" spans="1:3" x14ac:dyDescent="0.25">
      <c r="A15" s="50"/>
      <c r="B15" s="49"/>
      <c r="C15" s="49"/>
    </row>
    <row r="16" spans="1:3" x14ac:dyDescent="0.25">
      <c r="A16" s="50"/>
      <c r="B16" s="49"/>
      <c r="C16" s="49"/>
    </row>
    <row r="17" spans="1:3" x14ac:dyDescent="0.25">
      <c r="A17" s="50"/>
      <c r="B17" s="49"/>
      <c r="C17" s="49"/>
    </row>
    <row r="18" spans="1:3" x14ac:dyDescent="0.25">
      <c r="A18" s="50"/>
      <c r="B18" s="49"/>
      <c r="C18" s="49"/>
    </row>
    <row r="19" spans="1:3" x14ac:dyDescent="0.25">
      <c r="A19" s="48"/>
      <c r="B19" s="49"/>
      <c r="C19" s="49"/>
    </row>
    <row r="20" spans="1:3" x14ac:dyDescent="0.25">
      <c r="A20" s="48"/>
      <c r="B20" s="49"/>
      <c r="C20" s="49"/>
    </row>
  </sheetData>
  <sheetProtection algorithmName="SHA-512" hashValue="Dh9TLE6NKPDtHg5rNlEsKEnGpqogovw1e8hNjGVFst9zP8DlvnjhcTWh6q3A+4/mdYQmTuXKIJaHzwXbbE/glQ==" saltValue="Xd/zcZiOY3P+8yDCdyzFI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67" customWidth="1"/>
    <col min="2" max="2" width="11.453125" style="67" customWidth="1"/>
    <col min="3" max="16384" width="11.453125" style="67"/>
  </cols>
  <sheetData>
    <row r="1" spans="1:1" ht="13" customHeight="1" x14ac:dyDescent="0.3">
      <c r="A1" s="57" t="s">
        <v>156</v>
      </c>
    </row>
    <row r="2" spans="1:1" x14ac:dyDescent="0.25">
      <c r="A2" s="117" t="s">
        <v>171</v>
      </c>
    </row>
    <row r="3" spans="1:1" x14ac:dyDescent="0.25">
      <c r="A3" s="117" t="s">
        <v>181</v>
      </c>
    </row>
    <row r="4" spans="1:1" x14ac:dyDescent="0.25">
      <c r="A4" s="117" t="s">
        <v>185</v>
      </c>
    </row>
    <row r="5" spans="1:1" x14ac:dyDescent="0.25">
      <c r="A5" s="117" t="s">
        <v>194</v>
      </c>
    </row>
    <row r="6" spans="1:1" x14ac:dyDescent="0.25">
      <c r="A6" s="117" t="s">
        <v>195</v>
      </c>
    </row>
    <row r="7" spans="1:1" x14ac:dyDescent="0.25">
      <c r="A7" s="117" t="s">
        <v>196</v>
      </c>
    </row>
    <row r="8" spans="1:1" x14ac:dyDescent="0.25">
      <c r="A8" s="117" t="s">
        <v>197</v>
      </c>
    </row>
    <row r="9" spans="1:1" x14ac:dyDescent="0.25">
      <c r="A9" s="117" t="s">
        <v>198</v>
      </c>
    </row>
    <row r="10" spans="1:1" x14ac:dyDescent="0.25">
      <c r="A10" s="117"/>
    </row>
    <row r="11" spans="1:1" x14ac:dyDescent="0.25">
      <c r="A11" s="117"/>
    </row>
    <row r="12" spans="1:1" x14ac:dyDescent="0.25">
      <c r="A12" s="117"/>
    </row>
    <row r="13" spans="1:1" x14ac:dyDescent="0.25">
      <c r="A13" s="117"/>
    </row>
    <row r="14" spans="1:1" x14ac:dyDescent="0.25">
      <c r="A14" s="117"/>
    </row>
    <row r="15" spans="1:1" x14ac:dyDescent="0.25">
      <c r="A15" s="117"/>
    </row>
    <row r="16" spans="1:1" x14ac:dyDescent="0.25">
      <c r="A16" s="117"/>
    </row>
    <row r="17" spans="1:1" x14ac:dyDescent="0.25">
      <c r="A17" s="117"/>
    </row>
    <row r="18" spans="1:1" x14ac:dyDescent="0.25">
      <c r="A18" s="117"/>
    </row>
    <row r="19" spans="1:1" x14ac:dyDescent="0.25">
      <c r="A19" s="117"/>
    </row>
  </sheetData>
  <sheetProtection algorithmName="SHA-512" hashValue="uJ+C+/dBpTvyMC2Iy7P5NunpWtPTwPcfjiPxznR4KaU/facoHTCnCnOUrehps3crxY9ekE0RZGjjD7jrb6NA6A==" saltValue="17NAV6Qe+7h2hmKTQGL6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A5" sqref="A5"/>
    </sheetView>
  </sheetViews>
  <sheetFormatPr defaultColWidth="14.453125" defaultRowHeight="15.75" customHeight="1" x14ac:dyDescent="0.25"/>
  <sheetData>
    <row r="1" spans="1:6" ht="15.75" customHeight="1" x14ac:dyDescent="0.25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4" t="s">
        <v>81</v>
      </c>
      <c r="B2" s="118">
        <f>'Entradas de población-año base'!C51</f>
        <v>3.3</v>
      </c>
      <c r="C2" s="118">
        <f>'Entradas de población-año base'!C52</f>
        <v>3.3</v>
      </c>
      <c r="D2" s="118">
        <f>'Entradas de población-año base'!C53</f>
        <v>3.3</v>
      </c>
      <c r="E2" s="118">
        <f>'Entradas de población-año base'!C54</f>
        <v>3.3</v>
      </c>
      <c r="F2" s="118">
        <f>'Entradas de población-año base'!C55</f>
        <v>3.3</v>
      </c>
    </row>
    <row r="3" spans="1:6" ht="15.75" customHeight="1" x14ac:dyDescent="0.25">
      <c r="A3" s="4" t="s">
        <v>204</v>
      </c>
      <c r="B3" s="118">
        <f>frac_mam_1month * 2.6</f>
        <v>0.11577400974503183</v>
      </c>
      <c r="C3" s="118">
        <f>frac_mam_1_5months * 2.6</f>
        <v>0.11577400974503183</v>
      </c>
      <c r="D3" s="118">
        <f>frac_mam_6_11months * 2.6</f>
        <v>0.14005940314932697</v>
      </c>
      <c r="E3" s="118">
        <f>frac_mam_12_23months * 2.6</f>
        <v>0.11042457219845687</v>
      </c>
      <c r="F3" s="118">
        <f>frac_mam_24_59months * 2.6</f>
        <v>5.7837219151894527E-2</v>
      </c>
    </row>
    <row r="4" spans="1:6" ht="15.75" customHeight="1" x14ac:dyDescent="0.25">
      <c r="A4" s="4" t="s">
        <v>205</v>
      </c>
      <c r="B4" s="118">
        <f>frac_sam_1month * 2.6</f>
        <v>8.1725145926884984E-2</v>
      </c>
      <c r="C4" s="118">
        <f>frac_sam_1_5months * 2.6</f>
        <v>8.1725145926884984E-2</v>
      </c>
      <c r="D4" s="118">
        <f>frac_sam_6_11months * 2.6</f>
        <v>7.3945575132361926E-2</v>
      </c>
      <c r="E4" s="118">
        <f>frac_sam_12_23months * 2.6</f>
        <v>5.9399106240509099E-2</v>
      </c>
      <c r="F4" s="118">
        <f>frac_sam_24_59months * 2.6</f>
        <v>2.766723567017124E-2</v>
      </c>
    </row>
  </sheetData>
  <sheetProtection algorithmName="SHA-512" hashValue="UwLpYKH4JCcE8Xq2IHJhvub/xD9AgH0IM4lV/9WRHgCSUxzpV8fBT3xa99cPLYJiF0GQRGEFzK/9+ANqj+gVIQ==" saltValue="Rz7LhHchEqdsBP8cBVtf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53125" defaultRowHeight="15.75" customHeight="1" x14ac:dyDescent="0.25"/>
  <cols>
    <col min="1" max="1" width="20" style="3" bestFit="1" customWidth="1"/>
    <col min="2" max="2" width="45.90625" style="3" customWidth="1"/>
    <col min="3" max="3" width="8.453125" style="3" bestFit="1" customWidth="1"/>
    <col min="4" max="4" width="10" style="3" bestFit="1" customWidth="1"/>
    <col min="5" max="5" width="10.90625" style="3" bestFit="1" customWidth="1"/>
    <col min="6" max="7" width="11.90625" style="3" bestFit="1" customWidth="1"/>
    <col min="8" max="11" width="13.90625" style="3" bestFit="1" customWidth="1"/>
    <col min="12" max="15" width="15.08984375" style="3" bestFit="1" customWidth="1"/>
  </cols>
  <sheetData>
    <row r="1" spans="1:15" ht="15.75" customHeight="1" x14ac:dyDescent="0.3">
      <c r="A1" s="31" t="s">
        <v>206</v>
      </c>
      <c r="B1" s="1" t="s">
        <v>156</v>
      </c>
      <c r="C1" s="31" t="s">
        <v>67</v>
      </c>
      <c r="D1" s="31" t="s">
        <v>77</v>
      </c>
      <c r="E1" s="31" t="s">
        <v>78</v>
      </c>
      <c r="F1" s="31" t="s">
        <v>79</v>
      </c>
      <c r="G1" s="31" t="s">
        <v>80</v>
      </c>
      <c r="H1" s="31" t="s">
        <v>112</v>
      </c>
      <c r="I1" s="31" t="s">
        <v>113</v>
      </c>
      <c r="J1" s="31" t="s">
        <v>114</v>
      </c>
      <c r="K1" s="31" t="s">
        <v>115</v>
      </c>
      <c r="L1" s="31" t="s">
        <v>58</v>
      </c>
      <c r="M1" s="31" t="s">
        <v>59</v>
      </c>
      <c r="N1" s="31" t="s">
        <v>60</v>
      </c>
      <c r="O1" s="31" t="s">
        <v>61</v>
      </c>
    </row>
    <row r="2" spans="1:15" ht="15.75" customHeight="1" x14ac:dyDescent="0.3">
      <c r="A2" s="31" t="s">
        <v>76</v>
      </c>
      <c r="B2" s="7" t="s">
        <v>169</v>
      </c>
      <c r="C2" s="51">
        <v>0</v>
      </c>
      <c r="D2" s="51">
        <f>food_insecure</f>
        <v>0.161</v>
      </c>
      <c r="E2" s="51">
        <f>food_insecure</f>
        <v>0.161</v>
      </c>
      <c r="F2" s="51">
        <f>food_insecure</f>
        <v>0.161</v>
      </c>
      <c r="G2" s="51">
        <f>food_insecure</f>
        <v>0.161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</row>
    <row r="3" spans="1:15" ht="15.75" customHeight="1" x14ac:dyDescent="0.25">
      <c r="B3" s="7" t="s">
        <v>170</v>
      </c>
      <c r="C3" s="51">
        <v>1</v>
      </c>
      <c r="D3" s="51">
        <v>0</v>
      </c>
      <c r="E3" s="51">
        <v>0</v>
      </c>
      <c r="F3" s="51">
        <v>0</v>
      </c>
      <c r="G3" s="51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</row>
    <row r="4" spans="1:15" ht="15.75" customHeight="1" x14ac:dyDescent="0.25">
      <c r="B4" s="7" t="s">
        <v>183</v>
      </c>
      <c r="C4" s="51">
        <v>1</v>
      </c>
      <c r="D4" s="51">
        <v>0</v>
      </c>
      <c r="E4" s="51">
        <v>0</v>
      </c>
      <c r="F4" s="51">
        <v>0</v>
      </c>
      <c r="G4" s="51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52">
        <v>0</v>
      </c>
    </row>
    <row r="5" spans="1:15" ht="15.75" customHeight="1" x14ac:dyDescent="0.25">
      <c r="B5" s="7" t="s">
        <v>184</v>
      </c>
      <c r="C5" s="51">
        <v>0</v>
      </c>
      <c r="D5" s="51">
        <v>0</v>
      </c>
      <c r="E5" s="51">
        <f>food_insecure</f>
        <v>0.161</v>
      </c>
      <c r="F5" s="51">
        <f>food_insecure</f>
        <v>0.161</v>
      </c>
      <c r="G5" s="51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</row>
    <row r="6" spans="1:15" ht="15.75" customHeight="1" x14ac:dyDescent="0.25">
      <c r="B6" s="7" t="s">
        <v>188</v>
      </c>
      <c r="C6" s="51">
        <v>0</v>
      </c>
      <c r="D6" s="51">
        <v>0</v>
      </c>
      <c r="E6" s="51">
        <f>1</f>
        <v>1</v>
      </c>
      <c r="F6" s="51">
        <f>1</f>
        <v>1</v>
      </c>
      <c r="G6" s="51">
        <f>1</f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</row>
    <row r="7" spans="1:15" ht="15.75" customHeight="1" x14ac:dyDescent="0.25">
      <c r="B7" s="19" t="s">
        <v>190</v>
      </c>
      <c r="C7" s="51">
        <f>diarrhoea_1mo*frac_diarrhea_severe</f>
        <v>7.2000000000000008E-2</v>
      </c>
      <c r="D7" s="51">
        <f>diarrhoea_1_5mo*frac_diarrhea_severe</f>
        <v>7.2000000000000008E-2</v>
      </c>
      <c r="E7" s="51">
        <f>diarrhoea_6_11mo*frac_diarrhea_severe</f>
        <v>7.2000000000000008E-2</v>
      </c>
      <c r="F7" s="51">
        <f>diarrhoea_12_23mo*frac_diarrhea_severe</f>
        <v>7.2000000000000008E-2</v>
      </c>
      <c r="G7" s="51">
        <f>diarrhoea_24_59mo*frac_diarrhea_severe</f>
        <v>7.2000000000000008E-2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</row>
    <row r="8" spans="1:15" ht="15.75" customHeight="1" x14ac:dyDescent="0.25">
      <c r="B8" s="7" t="s">
        <v>191</v>
      </c>
      <c r="C8" s="51">
        <v>0</v>
      </c>
      <c r="D8" s="51">
        <v>0</v>
      </c>
      <c r="E8" s="51">
        <f>food_insecure</f>
        <v>0.161</v>
      </c>
      <c r="F8" s="51">
        <f>food_insecure</f>
        <v>0.161</v>
      </c>
      <c r="G8" s="51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</row>
    <row r="9" spans="1:15" ht="15.75" customHeight="1" x14ac:dyDescent="0.25">
      <c r="B9" s="7" t="s">
        <v>192</v>
      </c>
      <c r="C9" s="51">
        <v>0</v>
      </c>
      <c r="D9" s="51">
        <v>0</v>
      </c>
      <c r="E9" s="51">
        <f>food_insecure</f>
        <v>0.161</v>
      </c>
      <c r="F9" s="51">
        <f>food_insecure</f>
        <v>0.161</v>
      </c>
      <c r="G9" s="51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</row>
    <row r="10" spans="1:15" ht="15.75" customHeight="1" x14ac:dyDescent="0.25">
      <c r="B10" s="7" t="s">
        <v>157</v>
      </c>
      <c r="C10" s="51">
        <v>0</v>
      </c>
      <c r="D10" s="51">
        <f>IF(ISBLANK(comm_deliv), frac_children_health_facility,1)</f>
        <v>0.14000000000000001</v>
      </c>
      <c r="E10" s="51">
        <f>IF(ISBLANK(comm_deliv), frac_children_health_facility,1)</f>
        <v>0.14000000000000001</v>
      </c>
      <c r="F10" s="51">
        <f>IF(ISBLANK(comm_deliv), frac_children_health_facility,1)</f>
        <v>0.14000000000000001</v>
      </c>
      <c r="G10" s="51">
        <f>IF(ISBLANK(comm_deliv), frac_children_health_facility,1)</f>
        <v>0.14000000000000001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</row>
    <row r="11" spans="1:15" ht="15" customHeight="1" x14ac:dyDescent="0.25">
      <c r="B11" s="7" t="s">
        <v>193</v>
      </c>
      <c r="C11" s="51">
        <v>0</v>
      </c>
      <c r="D11" s="51">
        <v>0</v>
      </c>
      <c r="E11" s="51">
        <v>1</v>
      </c>
      <c r="F11" s="51">
        <v>1</v>
      </c>
      <c r="G11" s="51">
        <v>1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</row>
    <row r="12" spans="1:15" ht="15.75" customHeight="1" x14ac:dyDescent="0.25">
      <c r="B12" s="19" t="s">
        <v>199</v>
      </c>
      <c r="C12" s="51">
        <f>diarrhoea_1mo*frac_diarrhea_severe</f>
        <v>7.2000000000000008E-2</v>
      </c>
      <c r="D12" s="51">
        <f>diarrhoea_1_5mo*frac_diarrhea_severe</f>
        <v>7.2000000000000008E-2</v>
      </c>
      <c r="E12" s="51">
        <f>diarrhoea_6_11mo*frac_diarrhea_severe</f>
        <v>7.2000000000000008E-2</v>
      </c>
      <c r="F12" s="51">
        <f>diarrhoea_12_23mo*frac_diarrhea_severe</f>
        <v>7.2000000000000008E-2</v>
      </c>
      <c r="G12" s="51">
        <f>diarrhoea_24_59mo*frac_diarrhea_severe</f>
        <v>7.2000000000000008E-2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</row>
    <row r="13" spans="1:15" ht="15.75" customHeight="1" x14ac:dyDescent="0.25">
      <c r="B13" s="7" t="s">
        <v>200</v>
      </c>
      <c r="C13" s="51">
        <v>0</v>
      </c>
      <c r="D13" s="51">
        <v>0</v>
      </c>
      <c r="E13" s="51">
        <v>1</v>
      </c>
      <c r="F13" s="51">
        <v>1</v>
      </c>
      <c r="G13" s="51">
        <v>1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</row>
    <row r="14" spans="1:15" ht="15.75" customHeight="1" x14ac:dyDescent="0.25">
      <c r="B14" s="19"/>
    </row>
    <row r="15" spans="1:15" ht="15.75" customHeight="1" x14ac:dyDescent="0.3">
      <c r="A15" s="31" t="s">
        <v>90</v>
      </c>
      <c r="B15" s="19" t="s">
        <v>166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1">
        <f>food_insecure</f>
        <v>0.161</v>
      </c>
      <c r="I15" s="51">
        <f>food_insecure</f>
        <v>0.161</v>
      </c>
      <c r="J15" s="51">
        <f>food_insecure</f>
        <v>0.161</v>
      </c>
      <c r="K15" s="51">
        <f>food_insecure</f>
        <v>0.161</v>
      </c>
      <c r="L15" s="52">
        <v>0</v>
      </c>
      <c r="M15" s="52">
        <v>0</v>
      </c>
      <c r="N15" s="52">
        <v>0</v>
      </c>
      <c r="O15" s="52">
        <v>0</v>
      </c>
    </row>
    <row r="16" spans="1:15" ht="15.75" customHeight="1" x14ac:dyDescent="0.3">
      <c r="A16" s="31"/>
      <c r="B16" s="7" t="s">
        <v>168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1">
        <v>1</v>
      </c>
      <c r="I16" s="51">
        <v>1</v>
      </c>
      <c r="J16" s="51">
        <v>1</v>
      </c>
      <c r="K16" s="51">
        <v>1</v>
      </c>
      <c r="L16" s="52">
        <v>0</v>
      </c>
      <c r="M16" s="52">
        <v>0</v>
      </c>
      <c r="N16" s="52">
        <v>0</v>
      </c>
      <c r="O16" s="52">
        <v>0</v>
      </c>
    </row>
    <row r="17" spans="1:15" ht="15.75" customHeight="1" x14ac:dyDescent="0.3">
      <c r="A17" s="31"/>
      <c r="B17" s="7" t="s">
        <v>179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1">
        <f>1</f>
        <v>1</v>
      </c>
      <c r="I17" s="51">
        <f>1</f>
        <v>1</v>
      </c>
      <c r="J17" s="51">
        <f>1</f>
        <v>1</v>
      </c>
      <c r="K17" s="51">
        <f>1</f>
        <v>1</v>
      </c>
      <c r="L17" s="52">
        <v>0</v>
      </c>
      <c r="M17" s="52">
        <v>0</v>
      </c>
      <c r="N17" s="52">
        <v>0</v>
      </c>
      <c r="O17" s="52">
        <v>0</v>
      </c>
    </row>
    <row r="18" spans="1:15" ht="15.75" customHeight="1" x14ac:dyDescent="0.3">
      <c r="A18" s="31"/>
      <c r="B18" s="7" t="s">
        <v>180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1">
        <f>frac_PW_health_facility</f>
        <v>0.73299999999999998</v>
      </c>
      <c r="I18" s="51">
        <f>frac_PW_health_facility</f>
        <v>0.73299999999999998</v>
      </c>
      <c r="J18" s="51">
        <f>frac_PW_health_facility</f>
        <v>0.73299999999999998</v>
      </c>
      <c r="K18" s="51">
        <f>frac_PW_health_facility</f>
        <v>0.73299999999999998</v>
      </c>
      <c r="L18" s="52">
        <v>0</v>
      </c>
      <c r="M18" s="52">
        <v>0</v>
      </c>
      <c r="N18" s="52">
        <v>0</v>
      </c>
      <c r="O18" s="52">
        <v>0</v>
      </c>
    </row>
    <row r="19" spans="1:15" ht="15" customHeight="1" x14ac:dyDescent="0.25">
      <c r="B19" s="19" t="s">
        <v>181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1">
        <f>frac_malaria_risk</f>
        <v>0.13</v>
      </c>
      <c r="I19" s="51">
        <f>frac_malaria_risk</f>
        <v>0.13</v>
      </c>
      <c r="J19" s="51">
        <f>frac_malaria_risk</f>
        <v>0.13</v>
      </c>
      <c r="K19" s="51">
        <f>frac_malaria_risk</f>
        <v>0.13</v>
      </c>
      <c r="L19" s="52">
        <v>0</v>
      </c>
      <c r="M19" s="52">
        <v>0</v>
      </c>
      <c r="N19" s="52">
        <v>0</v>
      </c>
      <c r="O19" s="52">
        <v>0</v>
      </c>
    </row>
    <row r="20" spans="1:15" ht="15.75" customHeight="1" x14ac:dyDescent="0.25">
      <c r="B20" s="7" t="s">
        <v>186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1">
        <v>1</v>
      </c>
      <c r="I20" s="51">
        <v>1</v>
      </c>
      <c r="J20" s="51">
        <v>1</v>
      </c>
      <c r="K20" s="51">
        <v>1</v>
      </c>
      <c r="L20" s="52">
        <v>0</v>
      </c>
      <c r="M20" s="52">
        <v>0</v>
      </c>
      <c r="N20" s="52">
        <v>0</v>
      </c>
      <c r="O20" s="52">
        <v>0</v>
      </c>
    </row>
    <row r="21" spans="1:15" ht="15.75" customHeight="1" x14ac:dyDescent="0.25">
      <c r="B21" s="7" t="s">
        <v>187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1">
        <v>1</v>
      </c>
      <c r="I21" s="51">
        <v>1</v>
      </c>
      <c r="J21" s="51">
        <v>1</v>
      </c>
      <c r="K21" s="51">
        <v>1</v>
      </c>
      <c r="L21" s="52">
        <v>0</v>
      </c>
      <c r="M21" s="52">
        <v>0</v>
      </c>
      <c r="N21" s="52">
        <v>0</v>
      </c>
      <c r="O21" s="52">
        <v>0</v>
      </c>
    </row>
    <row r="22" spans="1:15" ht="15.75" customHeight="1" x14ac:dyDescent="0.25">
      <c r="B22" s="19" t="s">
        <v>189</v>
      </c>
      <c r="C22" s="52">
        <v>0</v>
      </c>
      <c r="D22" s="52">
        <v>0</v>
      </c>
      <c r="E22" s="52">
        <v>0</v>
      </c>
      <c r="F22" s="52">
        <v>0</v>
      </c>
      <c r="G22" s="52">
        <v>0</v>
      </c>
      <c r="H22" s="51">
        <f>1</f>
        <v>1</v>
      </c>
      <c r="I22" s="51">
        <f>1</f>
        <v>1</v>
      </c>
      <c r="J22" s="51">
        <f>1</f>
        <v>1</v>
      </c>
      <c r="K22" s="51">
        <f>1</f>
        <v>1</v>
      </c>
      <c r="L22" s="52">
        <v>0</v>
      </c>
      <c r="M22" s="52">
        <v>0</v>
      </c>
      <c r="N22" s="52">
        <v>0</v>
      </c>
      <c r="O22" s="52">
        <v>0</v>
      </c>
    </row>
    <row r="23" spans="1:15" ht="15.75" customHeight="1" x14ac:dyDescent="0.25">
      <c r="B23" s="19"/>
    </row>
    <row r="24" spans="1:15" ht="15.75" customHeight="1" x14ac:dyDescent="0.3">
      <c r="A24" s="31" t="s">
        <v>207</v>
      </c>
      <c r="B24" s="71" t="s">
        <v>171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1">
        <f>famplan_unmet_need</f>
        <v>0.52200000000000002</v>
      </c>
      <c r="M24" s="51">
        <f>famplan_unmet_need</f>
        <v>0.52200000000000002</v>
      </c>
      <c r="N24" s="51">
        <f>famplan_unmet_need</f>
        <v>0.52200000000000002</v>
      </c>
      <c r="O24" s="51">
        <f>famplan_unmet_need</f>
        <v>0.52200000000000002</v>
      </c>
    </row>
    <row r="25" spans="1:15" ht="15.75" customHeight="1" x14ac:dyDescent="0.25">
      <c r="B25" s="71" t="s">
        <v>175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f>(1-food_insecure)*(0.49)*(1-school_attendance) + food_insecure*(0.7)*(1-school_attendance)</f>
        <v>0.35303054385085197</v>
      </c>
      <c r="M25" s="51">
        <f>(1-food_insecure)*(0.49)+food_insecure*(0.7)</f>
        <v>0.52381</v>
      </c>
      <c r="N25" s="51">
        <f>(1-food_insecure)*(0.49)+food_insecure*(0.7)</f>
        <v>0.52381</v>
      </c>
      <c r="O25" s="51">
        <f>(1-food_insecure)*(0.49)+food_insecure*(0.7)</f>
        <v>0.52381</v>
      </c>
    </row>
    <row r="26" spans="1:15" ht="15.75" customHeight="1" x14ac:dyDescent="0.25">
      <c r="B26" s="71" t="s">
        <v>176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1">
        <f>(1-food_insecure)*(0.21)*(1-school_attendance) + food_insecure*(0.3)*(1-school_attendance)</f>
        <v>0.15129880450750799</v>
      </c>
      <c r="M26" s="51">
        <f>(1-food_insecure)*(0.21)+food_insecure*(0.3)</f>
        <v>0.22449</v>
      </c>
      <c r="N26" s="51">
        <f>(1-food_insecure)*(0.21)+food_insecure*(0.3)</f>
        <v>0.22449</v>
      </c>
      <c r="O26" s="51">
        <f>(1-food_insecure)*(0.21)+food_insecure*(0.3)</f>
        <v>0.22449</v>
      </c>
    </row>
    <row r="27" spans="1:15" ht="15.75" customHeight="1" x14ac:dyDescent="0.25">
      <c r="B27" s="71" t="s">
        <v>177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1">
        <f>(1-food_insecure)*(0.3)*(1-school_attendance)</f>
        <v>0.16963744084164001</v>
      </c>
      <c r="M27" s="51">
        <f>(1-food_insecure)*(0.3)</f>
        <v>0.25169999999999998</v>
      </c>
      <c r="N27" s="51">
        <f>(1-food_insecure)*(0.3)</f>
        <v>0.25169999999999998</v>
      </c>
      <c r="O27" s="51">
        <f>(1-food_insecure)*(0.3)</f>
        <v>0.25169999999999998</v>
      </c>
    </row>
    <row r="28" spans="1:15" ht="15.75" customHeight="1" x14ac:dyDescent="0.25">
      <c r="B28" s="71" t="s">
        <v>178</v>
      </c>
      <c r="C28" s="52">
        <v>0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1">
        <f>(1-food_insecure)*1*school_attendance + food_insecure*1*school_attendance</f>
        <v>0.32603321079999992</v>
      </c>
      <c r="M28" s="51">
        <v>0</v>
      </c>
      <c r="N28" s="51">
        <v>0</v>
      </c>
      <c r="O28" s="51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3">
      <c r="A30" s="31" t="s">
        <v>208</v>
      </c>
      <c r="B30" s="7" t="s">
        <v>172</v>
      </c>
      <c r="C30" s="51">
        <v>0</v>
      </c>
      <c r="D30" s="51">
        <v>0</v>
      </c>
      <c r="E30" s="51">
        <f t="shared" ref="E30:O30" si="0">frac_maize</f>
        <v>0.05</v>
      </c>
      <c r="F30" s="51">
        <f t="shared" si="0"/>
        <v>0.05</v>
      </c>
      <c r="G30" s="51">
        <f t="shared" si="0"/>
        <v>0.05</v>
      </c>
      <c r="H30" s="51">
        <f t="shared" si="0"/>
        <v>0.05</v>
      </c>
      <c r="I30" s="51">
        <f t="shared" si="0"/>
        <v>0.05</v>
      </c>
      <c r="J30" s="51">
        <f t="shared" si="0"/>
        <v>0.05</v>
      </c>
      <c r="K30" s="51">
        <f t="shared" si="0"/>
        <v>0.05</v>
      </c>
      <c r="L30" s="51">
        <f t="shared" si="0"/>
        <v>0.05</v>
      </c>
      <c r="M30" s="51">
        <f t="shared" si="0"/>
        <v>0.05</v>
      </c>
      <c r="N30" s="51">
        <f t="shared" si="0"/>
        <v>0.05</v>
      </c>
      <c r="O30" s="51">
        <f t="shared" si="0"/>
        <v>0.05</v>
      </c>
    </row>
    <row r="31" spans="1:15" ht="15.75" customHeight="1" x14ac:dyDescent="0.25">
      <c r="B31" s="7" t="s">
        <v>173</v>
      </c>
      <c r="C31" s="51">
        <v>0</v>
      </c>
      <c r="D31" s="51">
        <v>0</v>
      </c>
      <c r="E31" s="51">
        <f t="shared" ref="E31:O31" si="1">frac_rice</f>
        <v>0.7</v>
      </c>
      <c r="F31" s="51">
        <f t="shared" si="1"/>
        <v>0.7</v>
      </c>
      <c r="G31" s="51">
        <f t="shared" si="1"/>
        <v>0.7</v>
      </c>
      <c r="H31" s="51">
        <f t="shared" si="1"/>
        <v>0.7</v>
      </c>
      <c r="I31" s="51">
        <f t="shared" si="1"/>
        <v>0.7</v>
      </c>
      <c r="J31" s="51">
        <f t="shared" si="1"/>
        <v>0.7</v>
      </c>
      <c r="K31" s="51">
        <f t="shared" si="1"/>
        <v>0.7</v>
      </c>
      <c r="L31" s="51">
        <f t="shared" si="1"/>
        <v>0.7</v>
      </c>
      <c r="M31" s="51">
        <f t="shared" si="1"/>
        <v>0.7</v>
      </c>
      <c r="N31" s="51">
        <f t="shared" si="1"/>
        <v>0.7</v>
      </c>
      <c r="O31" s="51">
        <f t="shared" si="1"/>
        <v>0.7</v>
      </c>
    </row>
    <row r="32" spans="1:15" ht="15.75" customHeight="1" x14ac:dyDescent="0.25">
      <c r="B32" s="7" t="s">
        <v>174</v>
      </c>
      <c r="C32" s="51">
        <v>0</v>
      </c>
      <c r="D32" s="51">
        <v>0</v>
      </c>
      <c r="E32" s="51">
        <f t="shared" ref="E32:O32" si="2">frac_wheat</f>
        <v>0.05</v>
      </c>
      <c r="F32" s="51">
        <f t="shared" si="2"/>
        <v>0.05</v>
      </c>
      <c r="G32" s="51">
        <f t="shared" si="2"/>
        <v>0.05</v>
      </c>
      <c r="H32" s="51">
        <f t="shared" si="2"/>
        <v>0.05</v>
      </c>
      <c r="I32" s="51">
        <f t="shared" si="2"/>
        <v>0.05</v>
      </c>
      <c r="J32" s="51">
        <f t="shared" si="2"/>
        <v>0.05</v>
      </c>
      <c r="K32" s="51">
        <f t="shared" si="2"/>
        <v>0.05</v>
      </c>
      <c r="L32" s="51">
        <f t="shared" si="2"/>
        <v>0.05</v>
      </c>
      <c r="M32" s="51">
        <f t="shared" si="2"/>
        <v>0.05</v>
      </c>
      <c r="N32" s="51">
        <f t="shared" si="2"/>
        <v>0.05</v>
      </c>
      <c r="O32" s="51">
        <f t="shared" si="2"/>
        <v>0.05</v>
      </c>
    </row>
    <row r="33" spans="2:15" ht="15.75" customHeight="1" x14ac:dyDescent="0.25">
      <c r="B33" s="7" t="s">
        <v>182</v>
      </c>
      <c r="C33" s="51">
        <v>0</v>
      </c>
      <c r="D33" s="51">
        <v>0</v>
      </c>
      <c r="E33" s="51">
        <v>1</v>
      </c>
      <c r="F33" s="51">
        <v>1</v>
      </c>
      <c r="G33" s="51">
        <v>1</v>
      </c>
      <c r="H33" s="51">
        <v>1</v>
      </c>
      <c r="I33" s="51">
        <v>1</v>
      </c>
      <c r="J33" s="51">
        <v>1</v>
      </c>
      <c r="K33" s="51">
        <v>1</v>
      </c>
      <c r="L33" s="51">
        <v>1</v>
      </c>
      <c r="M33" s="51">
        <v>1</v>
      </c>
      <c r="N33" s="51">
        <v>1</v>
      </c>
      <c r="O33" s="51">
        <v>1</v>
      </c>
    </row>
    <row r="34" spans="2:15" ht="15.75" customHeight="1" x14ac:dyDescent="0.25">
      <c r="B34" s="7" t="s">
        <v>185</v>
      </c>
      <c r="C34" s="51">
        <f t="shared" ref="C34:O34" si="3">frac_malaria_risk</f>
        <v>0.13</v>
      </c>
      <c r="D34" s="51">
        <f t="shared" si="3"/>
        <v>0.13</v>
      </c>
      <c r="E34" s="51">
        <f t="shared" si="3"/>
        <v>0.13</v>
      </c>
      <c r="F34" s="51">
        <f t="shared" si="3"/>
        <v>0.13</v>
      </c>
      <c r="G34" s="51">
        <f t="shared" si="3"/>
        <v>0.13</v>
      </c>
      <c r="H34" s="51">
        <f t="shared" si="3"/>
        <v>0.13</v>
      </c>
      <c r="I34" s="51">
        <f t="shared" si="3"/>
        <v>0.13</v>
      </c>
      <c r="J34" s="51">
        <f t="shared" si="3"/>
        <v>0.13</v>
      </c>
      <c r="K34" s="51">
        <f t="shared" si="3"/>
        <v>0.13</v>
      </c>
      <c r="L34" s="51">
        <f t="shared" si="3"/>
        <v>0.13</v>
      </c>
      <c r="M34" s="51">
        <f t="shared" si="3"/>
        <v>0.13</v>
      </c>
      <c r="N34" s="51">
        <f t="shared" si="3"/>
        <v>0.13</v>
      </c>
      <c r="O34" s="51">
        <f t="shared" si="3"/>
        <v>0.13</v>
      </c>
    </row>
    <row r="35" spans="2:15" ht="15.75" customHeight="1" x14ac:dyDescent="0.25">
      <c r="B35" s="19" t="s">
        <v>194</v>
      </c>
      <c r="C35" s="51">
        <v>1</v>
      </c>
      <c r="D35" s="51">
        <v>1</v>
      </c>
      <c r="E35" s="51">
        <v>1</v>
      </c>
      <c r="F35" s="51">
        <v>1</v>
      </c>
      <c r="G35" s="51">
        <v>1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</row>
    <row r="36" spans="2:15" ht="15.75" customHeight="1" x14ac:dyDescent="0.25">
      <c r="B36" s="19" t="s">
        <v>195</v>
      </c>
      <c r="C36" s="51">
        <v>1</v>
      </c>
      <c r="D36" s="51">
        <v>1</v>
      </c>
      <c r="E36" s="51">
        <v>1</v>
      </c>
      <c r="F36" s="51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</row>
    <row r="37" spans="2:15" ht="15.75" customHeight="1" x14ac:dyDescent="0.25">
      <c r="B37" s="19" t="s">
        <v>196</v>
      </c>
      <c r="C37" s="51">
        <v>1</v>
      </c>
      <c r="D37" s="51">
        <v>1</v>
      </c>
      <c r="E37" s="51">
        <v>1</v>
      </c>
      <c r="F37" s="51">
        <v>1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</row>
    <row r="38" spans="2:15" ht="15.75" customHeight="1" x14ac:dyDescent="0.25">
      <c r="B38" s="19" t="s">
        <v>197</v>
      </c>
      <c r="C38" s="51">
        <v>1</v>
      </c>
      <c r="D38" s="51">
        <v>1</v>
      </c>
      <c r="E38" s="51">
        <v>1</v>
      </c>
      <c r="F38" s="51">
        <v>1</v>
      </c>
      <c r="G38" s="51">
        <v>1</v>
      </c>
      <c r="H38" s="51">
        <v>1</v>
      </c>
      <c r="I38" s="51">
        <v>1</v>
      </c>
      <c r="J38" s="51">
        <v>1</v>
      </c>
      <c r="K38" s="51">
        <v>1</v>
      </c>
      <c r="L38" s="51">
        <v>1</v>
      </c>
      <c r="M38" s="51">
        <v>1</v>
      </c>
      <c r="N38" s="51">
        <v>1</v>
      </c>
      <c r="O38" s="51">
        <v>1</v>
      </c>
    </row>
    <row r="39" spans="2:15" ht="15.75" customHeight="1" x14ac:dyDescent="0.25">
      <c r="B39" s="19" t="s">
        <v>198</v>
      </c>
      <c r="C39" s="51">
        <v>1</v>
      </c>
      <c r="D39" s="51">
        <v>1</v>
      </c>
      <c r="E39" s="51">
        <v>1</v>
      </c>
      <c r="F39" s="51">
        <v>1</v>
      </c>
      <c r="G39" s="51">
        <v>1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</row>
    <row r="40" spans="2:15" ht="15.75" customHeight="1" x14ac:dyDescent="0.25">
      <c r="B40" s="19"/>
    </row>
  </sheetData>
  <sheetProtection algorithmName="SHA-512" hashValue="mJgldOAHHDjUSh9VSinfY4cu6SOoHU8sDDBktrSE2VZmflez8uUQeWQxV9f/sJqmHfq7XXRqPVFLtl+h3+o9lg==" saltValue="KyCqScrkm3kBwWEZoB/iY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97" t="s">
        <v>167</v>
      </c>
    </row>
    <row r="2" spans="1:1" x14ac:dyDescent="0.25">
      <c r="A2" s="97" t="s">
        <v>209</v>
      </c>
    </row>
    <row r="3" spans="1:1" x14ac:dyDescent="0.25">
      <c r="A3" s="97" t="s">
        <v>210</v>
      </c>
    </row>
    <row r="4" spans="1:1" x14ac:dyDescent="0.25">
      <c r="A4" s="97" t="s">
        <v>211</v>
      </c>
    </row>
  </sheetData>
  <sheetProtection algorithmName="SHA-512" hashValue="kmUD0o3WTxJfTxK5pzzNrOPJq7o0kuePArETIGWjyO8by6nEjlZZghmbF2H8uk6zLS1OccQ+wmDdgM46qR+ajQ==" saltValue="BqJR9ryIm8WzE1L04t9K7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67" customWidth="1"/>
    <col min="2" max="2" width="12.453125" style="67" customWidth="1"/>
    <col min="3" max="4" width="11.453125" style="67" customWidth="1"/>
    <col min="5" max="5" width="17.453125" style="67" customWidth="1"/>
    <col min="6" max="6" width="11.453125" style="67" customWidth="1"/>
    <col min="7" max="16384" width="11.453125" style="67"/>
  </cols>
  <sheetData>
    <row r="1" spans="1:5" ht="13" customHeight="1" x14ac:dyDescent="0.3">
      <c r="A1" s="57" t="s">
        <v>212</v>
      </c>
      <c r="B1" s="57" t="s">
        <v>213</v>
      </c>
      <c r="C1" s="57" t="s">
        <v>214</v>
      </c>
      <c r="D1" s="57" t="s">
        <v>136</v>
      </c>
      <c r="E1" s="57" t="s">
        <v>215</v>
      </c>
    </row>
    <row r="2" spans="1:5" ht="14" customHeight="1" x14ac:dyDescent="0.3">
      <c r="A2" s="20" t="s">
        <v>216</v>
      </c>
      <c r="B2" s="20">
        <v>0.9</v>
      </c>
      <c r="C2" s="67">
        <v>0.09</v>
      </c>
      <c r="D2" s="67">
        <v>0.8</v>
      </c>
      <c r="E2" s="67">
        <f t="shared" ref="E2:E10" si="0">C2*D2</f>
        <v>7.1999999999999995E-2</v>
      </c>
    </row>
    <row r="3" spans="1:5" ht="14" customHeight="1" x14ac:dyDescent="0.3">
      <c r="A3" s="20" t="s">
        <v>217</v>
      </c>
      <c r="B3" s="20">
        <v>1</v>
      </c>
      <c r="C3" s="67">
        <v>0.02</v>
      </c>
      <c r="D3" s="67">
        <v>1.9</v>
      </c>
      <c r="E3" s="67">
        <f t="shared" si="0"/>
        <v>3.7999999999999999E-2</v>
      </c>
    </row>
    <row r="4" spans="1:5" ht="14" customHeight="1" x14ac:dyDescent="0.3">
      <c r="A4" s="20" t="s">
        <v>218</v>
      </c>
      <c r="B4" s="20">
        <v>1</v>
      </c>
      <c r="C4" s="67">
        <v>0.08</v>
      </c>
      <c r="D4" s="67">
        <v>2</v>
      </c>
      <c r="E4" s="67">
        <f t="shared" si="0"/>
        <v>0.16</v>
      </c>
    </row>
    <row r="5" spans="1:5" ht="14" customHeight="1" x14ac:dyDescent="0.3">
      <c r="A5" s="20" t="s">
        <v>219</v>
      </c>
      <c r="B5" s="20">
        <v>1</v>
      </c>
      <c r="C5" s="67">
        <v>0.18</v>
      </c>
      <c r="D5" s="67">
        <v>0.7</v>
      </c>
      <c r="E5" s="67">
        <f t="shared" si="0"/>
        <v>0.126</v>
      </c>
    </row>
    <row r="6" spans="1:5" ht="14" customHeight="1" x14ac:dyDescent="0.3">
      <c r="A6" s="20" t="s">
        <v>220</v>
      </c>
      <c r="B6" s="20">
        <v>1</v>
      </c>
      <c r="C6" s="67">
        <v>0.02</v>
      </c>
      <c r="D6" s="67">
        <v>0.7</v>
      </c>
      <c r="E6" s="67">
        <f t="shared" si="0"/>
        <v>1.3999999999999999E-2</v>
      </c>
    </row>
    <row r="7" spans="1:5" ht="14" customHeight="1" x14ac:dyDescent="0.3">
      <c r="A7" s="20" t="s">
        <v>221</v>
      </c>
      <c r="B7" s="20">
        <v>0.93</v>
      </c>
      <c r="C7" s="67">
        <v>0.45</v>
      </c>
      <c r="D7" s="67">
        <v>0.9</v>
      </c>
      <c r="E7" s="67">
        <f t="shared" si="0"/>
        <v>0.40500000000000003</v>
      </c>
    </row>
    <row r="8" spans="1:5" ht="14" customHeight="1" x14ac:dyDescent="0.3">
      <c r="A8" s="20" t="s">
        <v>222</v>
      </c>
      <c r="B8" s="20">
        <v>0.5</v>
      </c>
      <c r="C8" s="67">
        <v>0.03</v>
      </c>
      <c r="D8" s="67">
        <v>0</v>
      </c>
      <c r="E8" s="67">
        <f t="shared" si="0"/>
        <v>0</v>
      </c>
    </row>
    <row r="9" spans="1:5" ht="14" customHeight="1" x14ac:dyDescent="0.3">
      <c r="A9" s="20" t="s">
        <v>223</v>
      </c>
      <c r="B9" s="20">
        <v>0.5</v>
      </c>
      <c r="C9" s="67">
        <v>0.11</v>
      </c>
      <c r="D9" s="67">
        <v>0</v>
      </c>
      <c r="E9" s="67">
        <f t="shared" si="0"/>
        <v>0</v>
      </c>
    </row>
    <row r="10" spans="1:5" ht="14" customHeight="1" x14ac:dyDescent="0.3">
      <c r="A10" s="20" t="s">
        <v>224</v>
      </c>
      <c r="B10" s="20">
        <v>0.98</v>
      </c>
      <c r="C10" s="67">
        <v>0.01</v>
      </c>
      <c r="D10" s="67">
        <v>0.6</v>
      </c>
      <c r="E10" s="67">
        <f t="shared" si="0"/>
        <v>6.0000000000000001E-3</v>
      </c>
    </row>
  </sheetData>
  <sheetProtection algorithmName="SHA-512" hashValue="4UwH5A6PJms7Vj93Y8THo7F7cAKsJkuHrNEMZVbkAc/dO3zIcBu3aVXmReClfDaK81Mmgkly1s5p4dYBgrOhfw==" saltValue="w6X6xsZ1dRWow1id5jay7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08984375" defaultRowHeight="15.75" customHeight="1" x14ac:dyDescent="0.35"/>
  <cols>
    <col min="1" max="1" width="22.1796875" style="56" bestFit="1" customWidth="1"/>
    <col min="2" max="2" width="58.90625" style="56" bestFit="1" customWidth="1"/>
    <col min="3" max="3" width="9.453125" style="56" bestFit="1" customWidth="1"/>
    <col min="4" max="4" width="11.08984375" style="56" bestFit="1" customWidth="1"/>
    <col min="5" max="5" width="12" style="56" bestFit="1" customWidth="1"/>
    <col min="6" max="7" width="13.08984375" style="56" bestFit="1" customWidth="1"/>
    <col min="8" max="11" width="15.36328125" style="56" bestFit="1" customWidth="1"/>
    <col min="12" max="15" width="16.90625" style="56" bestFit="1" customWidth="1"/>
    <col min="16" max="16" width="16.08984375" style="56" customWidth="1"/>
    <col min="17" max="16384" width="16.08984375" style="56"/>
  </cols>
  <sheetData>
    <row r="1" spans="1:15" ht="15.75" customHeight="1" x14ac:dyDescent="0.35">
      <c r="A1" s="30" t="s">
        <v>206</v>
      </c>
      <c r="B1" s="53" t="s">
        <v>156</v>
      </c>
      <c r="C1" s="30" t="s">
        <v>67</v>
      </c>
      <c r="D1" s="30" t="s">
        <v>77</v>
      </c>
      <c r="E1" s="30" t="s">
        <v>78</v>
      </c>
      <c r="F1" s="30" t="s">
        <v>79</v>
      </c>
      <c r="G1" s="30" t="s">
        <v>80</v>
      </c>
      <c r="H1" s="30" t="s">
        <v>112</v>
      </c>
      <c r="I1" s="30" t="s">
        <v>113</v>
      </c>
      <c r="J1" s="30" t="s">
        <v>114</v>
      </c>
      <c r="K1" s="30" t="s">
        <v>115</v>
      </c>
      <c r="L1" s="30" t="s">
        <v>58</v>
      </c>
      <c r="M1" s="30" t="s">
        <v>59</v>
      </c>
      <c r="N1" s="30" t="s">
        <v>60</v>
      </c>
      <c r="O1" s="30" t="s">
        <v>61</v>
      </c>
    </row>
    <row r="2" spans="1:15" ht="15.75" customHeight="1" x14ac:dyDescent="0.35">
      <c r="A2" s="30" t="s">
        <v>76</v>
      </c>
      <c r="B2" s="29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29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29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29" t="s">
        <v>150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29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29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29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29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29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29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29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29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29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29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29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29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30" t="s">
        <v>90</v>
      </c>
      <c r="B18" s="29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30"/>
      <c r="B19" s="29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7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7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54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29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29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29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29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30" t="s">
        <v>207</v>
      </c>
      <c r="B27" s="29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55"/>
    </row>
    <row r="28" spans="1:16" ht="15.75" customHeight="1" x14ac:dyDescent="0.35">
      <c r="B28" s="7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30"/>
      <c r="B29" s="7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7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7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29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30" t="s">
        <v>208</v>
      </c>
      <c r="B33" s="29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29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29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29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29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29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29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29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29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29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0oPBXFuGSVYEiQu4QZFi+LfrpziOAyyS0mTpmiMrUkw/6nUJygw4vtQ+trvzuX4SuYq8gONrGUiaqcHqsmU+yg==" saltValue="xOnP8Ct2/BAYPwvJMR6vm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F17" sqref="F17"/>
    </sheetView>
  </sheetViews>
  <sheetFormatPr defaultColWidth="12.81640625" defaultRowHeight="12.5" x14ac:dyDescent="0.25"/>
  <cols>
    <col min="1" max="1" width="58.90625" style="67" bestFit="1" customWidth="1"/>
    <col min="2" max="2" width="8.6328125" style="67" bestFit="1" customWidth="1"/>
    <col min="3" max="3" width="8.90625" style="67" bestFit="1" customWidth="1"/>
    <col min="4" max="4" width="18.36328125" style="67" bestFit="1" customWidth="1"/>
    <col min="5" max="5" width="17.453125" style="67" bestFit="1" customWidth="1"/>
    <col min="6" max="6" width="13.54296875" style="67" bestFit="1" customWidth="1"/>
    <col min="7" max="7" width="9.81640625" style="67" bestFit="1" customWidth="1"/>
    <col min="8" max="8" width="8.90625" style="67" bestFit="1" customWidth="1"/>
    <col min="9" max="9" width="14.81640625" style="67" bestFit="1" customWidth="1"/>
    <col min="10" max="10" width="15.36328125" style="67" bestFit="1" customWidth="1"/>
    <col min="11" max="11" width="12.81640625" style="67" customWidth="1"/>
    <col min="12" max="16384" width="12.81640625" style="67"/>
  </cols>
  <sheetData>
    <row r="1" spans="1:11" ht="13" customHeight="1" x14ac:dyDescent="0.3">
      <c r="A1" s="57" t="s">
        <v>156</v>
      </c>
      <c r="B1" s="67" t="s">
        <v>225</v>
      </c>
      <c r="C1" s="67" t="s">
        <v>111</v>
      </c>
      <c r="D1" s="67" t="s">
        <v>226</v>
      </c>
      <c r="E1" s="67" t="s">
        <v>227</v>
      </c>
      <c r="F1" s="67" t="s">
        <v>118</v>
      </c>
      <c r="G1" s="67" t="s">
        <v>81</v>
      </c>
      <c r="H1" s="67" t="s">
        <v>32</v>
      </c>
      <c r="I1" s="67" t="s">
        <v>228</v>
      </c>
      <c r="J1" s="67" t="s">
        <v>25</v>
      </c>
      <c r="K1" s="67" t="s">
        <v>229</v>
      </c>
    </row>
    <row r="2" spans="1:11" x14ac:dyDescent="0.25">
      <c r="A2" s="29" t="s">
        <v>166</v>
      </c>
      <c r="B2" s="87"/>
      <c r="C2" s="87"/>
      <c r="D2" s="87"/>
      <c r="E2" s="87"/>
      <c r="F2" s="87"/>
      <c r="G2" s="87"/>
      <c r="H2" s="87"/>
      <c r="I2" s="87" t="s">
        <v>151</v>
      </c>
      <c r="J2" s="87"/>
      <c r="K2" s="87"/>
    </row>
    <row r="3" spans="1:11" x14ac:dyDescent="0.25">
      <c r="A3" s="29" t="s">
        <v>168</v>
      </c>
      <c r="B3" s="87"/>
      <c r="C3" s="87"/>
      <c r="D3" s="87"/>
      <c r="E3" s="87"/>
      <c r="F3" s="87"/>
      <c r="G3" s="87"/>
      <c r="H3" s="87" t="s">
        <v>151</v>
      </c>
      <c r="I3" s="87"/>
      <c r="J3" s="87"/>
      <c r="K3" s="87"/>
    </row>
    <row r="4" spans="1:11" x14ac:dyDescent="0.25">
      <c r="A4" s="29" t="s">
        <v>169</v>
      </c>
      <c r="B4" s="87"/>
      <c r="C4" s="87"/>
      <c r="D4" s="87" t="s">
        <v>151</v>
      </c>
      <c r="E4" s="87"/>
      <c r="F4" s="87"/>
      <c r="G4" s="87"/>
      <c r="H4" s="87"/>
      <c r="I4" s="87"/>
      <c r="J4" s="87"/>
      <c r="K4" s="87"/>
    </row>
    <row r="5" spans="1:11" x14ac:dyDescent="0.25">
      <c r="A5" s="29" t="s">
        <v>170</v>
      </c>
      <c r="B5" s="87"/>
      <c r="C5" s="87" t="s">
        <v>151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29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151</v>
      </c>
      <c r="K6" s="87" t="s">
        <v>151</v>
      </c>
    </row>
    <row r="7" spans="1:11" x14ac:dyDescent="0.25">
      <c r="A7" s="29" t="s">
        <v>172</v>
      </c>
      <c r="B7" s="87"/>
      <c r="C7" s="87" t="s">
        <v>151</v>
      </c>
      <c r="D7" s="87"/>
      <c r="E7" s="87"/>
      <c r="F7" s="87"/>
      <c r="G7" s="87"/>
      <c r="H7" s="87" t="s">
        <v>151</v>
      </c>
      <c r="I7" s="87"/>
      <c r="J7" s="87"/>
      <c r="K7" s="87"/>
    </row>
    <row r="8" spans="1:11" x14ac:dyDescent="0.25">
      <c r="A8" s="29" t="s">
        <v>173</v>
      </c>
      <c r="B8" s="87"/>
      <c r="C8" s="87" t="s">
        <v>151</v>
      </c>
      <c r="D8" s="87"/>
      <c r="E8" s="87"/>
      <c r="F8" s="87"/>
      <c r="G8" s="87"/>
      <c r="H8" s="87" t="s">
        <v>151</v>
      </c>
      <c r="I8" s="87"/>
      <c r="J8" s="87"/>
      <c r="K8" s="87"/>
    </row>
    <row r="9" spans="1:11" x14ac:dyDescent="0.25">
      <c r="A9" s="29" t="s">
        <v>174</v>
      </c>
      <c r="B9" s="87"/>
      <c r="C9" s="87" t="s">
        <v>151</v>
      </c>
      <c r="D9" s="87"/>
      <c r="E9" s="87"/>
      <c r="F9" s="87"/>
      <c r="G9" s="87"/>
      <c r="H9" s="87" t="s">
        <v>151</v>
      </c>
      <c r="I9" s="87"/>
      <c r="J9" s="87"/>
      <c r="K9" s="87"/>
    </row>
    <row r="10" spans="1:11" x14ac:dyDescent="0.25">
      <c r="A10" s="71" t="s">
        <v>175</v>
      </c>
      <c r="B10" s="87"/>
      <c r="C10" s="87" t="s">
        <v>151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71" t="s">
        <v>176</v>
      </c>
      <c r="B11" s="87"/>
      <c r="C11" s="87" t="s">
        <v>151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71" t="s">
        <v>177</v>
      </c>
      <c r="B12" s="87"/>
      <c r="C12" s="87" t="s">
        <v>151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71" t="s">
        <v>178</v>
      </c>
      <c r="B13" s="87"/>
      <c r="C13" s="87" t="s">
        <v>151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75" t="s">
        <v>179</v>
      </c>
      <c r="B14" s="87"/>
      <c r="C14" s="87" t="s">
        <v>151</v>
      </c>
      <c r="D14" s="87"/>
      <c r="E14" s="87"/>
      <c r="F14" s="87"/>
      <c r="G14" s="87"/>
      <c r="H14" s="87"/>
      <c r="I14" s="87" t="s">
        <v>151</v>
      </c>
      <c r="J14" s="87"/>
      <c r="K14" s="87"/>
    </row>
    <row r="15" spans="1:11" x14ac:dyDescent="0.25">
      <c r="A15" s="75" t="s">
        <v>180</v>
      </c>
      <c r="B15" s="87"/>
      <c r="C15" s="87" t="s">
        <v>151</v>
      </c>
      <c r="D15" s="87"/>
      <c r="E15" s="87"/>
      <c r="F15" s="87"/>
      <c r="G15" s="87"/>
      <c r="H15" s="87"/>
      <c r="I15" s="87" t="s">
        <v>151</v>
      </c>
      <c r="J15" s="87"/>
      <c r="K15" s="87"/>
    </row>
    <row r="16" spans="1:11" x14ac:dyDescent="0.25">
      <c r="A16" s="29" t="s">
        <v>181</v>
      </c>
      <c r="B16" s="87"/>
      <c r="C16" s="87" t="s">
        <v>151</v>
      </c>
      <c r="D16" s="87"/>
      <c r="E16" s="87"/>
      <c r="F16" s="87"/>
      <c r="G16" s="87"/>
      <c r="H16" s="87" t="s">
        <v>151</v>
      </c>
      <c r="I16" s="87" t="s">
        <v>151</v>
      </c>
      <c r="J16" s="87"/>
      <c r="K16" s="87"/>
    </row>
    <row r="17" spans="1:11" x14ac:dyDescent="0.25">
      <c r="A17" s="29" t="s">
        <v>182</v>
      </c>
      <c r="B17" s="87"/>
      <c r="C17" s="87" t="s">
        <v>151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29" t="s">
        <v>148</v>
      </c>
      <c r="B18" s="87" t="s">
        <v>151</v>
      </c>
      <c r="C18" s="87"/>
      <c r="D18" s="87"/>
      <c r="E18" s="87"/>
      <c r="F18" s="87" t="s">
        <v>151</v>
      </c>
      <c r="G18" s="87"/>
      <c r="H18" s="87"/>
      <c r="I18" s="87"/>
      <c r="J18" s="87"/>
      <c r="K18" s="87"/>
    </row>
    <row r="19" spans="1:11" x14ac:dyDescent="0.25">
      <c r="A19" s="29" t="s">
        <v>150</v>
      </c>
      <c r="B19" s="87" t="s">
        <v>151</v>
      </c>
      <c r="C19" s="87"/>
      <c r="D19" s="87"/>
      <c r="E19" s="87"/>
      <c r="F19" s="87" t="s">
        <v>151</v>
      </c>
      <c r="G19" s="87"/>
      <c r="H19" s="87"/>
      <c r="I19" s="87"/>
      <c r="J19" s="87"/>
      <c r="K19" s="87"/>
    </row>
    <row r="20" spans="1:11" x14ac:dyDescent="0.25">
      <c r="A20" s="29" t="s">
        <v>152</v>
      </c>
      <c r="B20" s="87" t="s">
        <v>151</v>
      </c>
      <c r="C20" s="87"/>
      <c r="D20" s="87"/>
      <c r="E20" s="87"/>
      <c r="F20" s="87" t="s">
        <v>151</v>
      </c>
      <c r="G20" s="87"/>
      <c r="H20" s="87"/>
      <c r="I20" s="87"/>
      <c r="J20" s="87"/>
      <c r="K20" s="87"/>
    </row>
    <row r="21" spans="1:11" x14ac:dyDescent="0.25">
      <c r="A21" s="29" t="s">
        <v>183</v>
      </c>
      <c r="B21" s="87"/>
      <c r="C21" s="87"/>
      <c r="D21" s="87"/>
      <c r="E21" s="87"/>
      <c r="F21" s="87"/>
      <c r="G21" s="87"/>
      <c r="H21" s="87" t="s">
        <v>151</v>
      </c>
      <c r="I21" s="87" t="s">
        <v>151</v>
      </c>
      <c r="J21" s="87"/>
      <c r="K21" s="87"/>
    </row>
    <row r="22" spans="1:11" x14ac:dyDescent="0.25">
      <c r="A22" s="29" t="s">
        <v>184</v>
      </c>
      <c r="B22" s="87" t="s">
        <v>151</v>
      </c>
      <c r="C22" s="87" t="s">
        <v>151</v>
      </c>
      <c r="D22" s="87" t="s">
        <v>151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29" t="s">
        <v>185</v>
      </c>
      <c r="B23" s="87"/>
      <c r="C23" s="87" t="s">
        <v>151</v>
      </c>
      <c r="D23" s="87"/>
      <c r="E23" s="87"/>
      <c r="F23" s="87"/>
      <c r="G23" s="87"/>
      <c r="H23" s="87"/>
      <c r="I23" s="87" t="s">
        <v>151</v>
      </c>
      <c r="J23" s="87"/>
      <c r="K23" s="87"/>
    </row>
    <row r="24" spans="1:11" x14ac:dyDescent="0.25">
      <c r="A24" s="29" t="s">
        <v>186</v>
      </c>
      <c r="B24" s="87"/>
      <c r="C24" s="87"/>
      <c r="D24" s="87"/>
      <c r="E24" s="87"/>
      <c r="F24" s="87"/>
      <c r="G24" s="87"/>
      <c r="H24" s="87" t="s">
        <v>151</v>
      </c>
      <c r="I24" s="87"/>
      <c r="J24" s="87"/>
      <c r="K24" s="87"/>
    </row>
    <row r="25" spans="1:11" x14ac:dyDescent="0.25">
      <c r="A25" s="29" t="s">
        <v>187</v>
      </c>
      <c r="B25" s="87"/>
      <c r="C25" s="87"/>
      <c r="D25" s="87"/>
      <c r="E25" s="87"/>
      <c r="F25" s="87"/>
      <c r="G25" s="87"/>
      <c r="H25" s="87" t="s">
        <v>151</v>
      </c>
      <c r="I25" s="87"/>
      <c r="J25" s="87"/>
      <c r="K25" s="87"/>
    </row>
    <row r="26" spans="1:11" x14ac:dyDescent="0.25">
      <c r="A26" s="29" t="s">
        <v>188</v>
      </c>
      <c r="B26" s="87"/>
      <c r="C26" s="87" t="s">
        <v>151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29" t="s">
        <v>189</v>
      </c>
      <c r="B27" s="87"/>
      <c r="C27" s="87" t="s">
        <v>151</v>
      </c>
      <c r="D27" s="87"/>
      <c r="E27" s="87"/>
      <c r="F27" s="87"/>
      <c r="G27" s="87"/>
      <c r="H27" s="87"/>
      <c r="I27" s="87" t="s">
        <v>151</v>
      </c>
      <c r="J27" s="87"/>
      <c r="K27" s="87"/>
    </row>
    <row r="28" spans="1:11" x14ac:dyDescent="0.25">
      <c r="A28" s="29" t="s">
        <v>190</v>
      </c>
      <c r="B28" s="87"/>
      <c r="C28" s="87"/>
      <c r="D28" s="87"/>
      <c r="E28" s="87"/>
      <c r="F28" s="87"/>
      <c r="G28" s="87"/>
      <c r="H28" s="87" t="s">
        <v>151</v>
      </c>
      <c r="I28" s="87"/>
      <c r="J28" s="87"/>
      <c r="K28" s="87"/>
    </row>
    <row r="29" spans="1:11" x14ac:dyDescent="0.25">
      <c r="A29" s="29" t="s">
        <v>191</v>
      </c>
      <c r="B29" s="87" t="s">
        <v>151</v>
      </c>
      <c r="C29" s="87"/>
      <c r="D29" s="87" t="s">
        <v>151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29" t="s">
        <v>192</v>
      </c>
      <c r="B30" s="87" t="s">
        <v>151</v>
      </c>
      <c r="C30" s="87" t="s">
        <v>151</v>
      </c>
      <c r="D30" s="87" t="s">
        <v>151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29" t="s">
        <v>157</v>
      </c>
      <c r="B31" s="87"/>
      <c r="C31" s="87"/>
      <c r="D31" s="87"/>
      <c r="E31" s="87" t="s">
        <v>151</v>
      </c>
      <c r="F31" s="87"/>
      <c r="G31" s="87"/>
      <c r="H31" s="87"/>
      <c r="I31" s="87"/>
      <c r="J31" s="87"/>
      <c r="K31" s="87"/>
    </row>
    <row r="32" spans="1:11" x14ac:dyDescent="0.25">
      <c r="A32" s="29" t="s">
        <v>193</v>
      </c>
      <c r="B32" s="87"/>
      <c r="C32" s="87"/>
      <c r="D32" s="87"/>
      <c r="E32" s="87"/>
      <c r="F32" s="87"/>
      <c r="G32" s="87" t="s">
        <v>151</v>
      </c>
      <c r="H32" s="87" t="s">
        <v>151</v>
      </c>
      <c r="I32" s="87"/>
      <c r="J32" s="87"/>
      <c r="K32" s="87"/>
    </row>
    <row r="33" spans="1:11" x14ac:dyDescent="0.25">
      <c r="A33" s="29" t="s">
        <v>194</v>
      </c>
      <c r="B33" s="87"/>
      <c r="C33" s="87"/>
      <c r="D33" s="87"/>
      <c r="E33" s="87"/>
      <c r="F33" s="87"/>
      <c r="G33" s="87" t="s">
        <v>151</v>
      </c>
      <c r="H33" s="87" t="s">
        <v>151</v>
      </c>
      <c r="I33" s="87"/>
      <c r="J33" s="87"/>
      <c r="K33" s="87"/>
    </row>
    <row r="34" spans="1:11" x14ac:dyDescent="0.25">
      <c r="A34" s="29" t="s">
        <v>195</v>
      </c>
      <c r="B34" s="87"/>
      <c r="C34" s="87"/>
      <c r="D34" s="87"/>
      <c r="E34" s="87"/>
      <c r="F34" s="87"/>
      <c r="G34" s="87" t="s">
        <v>151</v>
      </c>
      <c r="H34" s="87" t="s">
        <v>151</v>
      </c>
      <c r="I34" s="87"/>
      <c r="J34" s="87"/>
      <c r="K34" s="87"/>
    </row>
    <row r="35" spans="1:11" x14ac:dyDescent="0.25">
      <c r="A35" s="29" t="s">
        <v>196</v>
      </c>
      <c r="B35" s="87"/>
      <c r="C35" s="87"/>
      <c r="D35" s="87"/>
      <c r="E35" s="87"/>
      <c r="F35" s="87"/>
      <c r="G35" s="87" t="s">
        <v>151</v>
      </c>
      <c r="H35" s="87" t="s">
        <v>151</v>
      </c>
      <c r="I35" s="87"/>
      <c r="J35" s="87"/>
      <c r="K35" s="87"/>
    </row>
    <row r="36" spans="1:11" x14ac:dyDescent="0.25">
      <c r="A36" s="29" t="s">
        <v>197</v>
      </c>
      <c r="B36" s="87"/>
      <c r="C36" s="87"/>
      <c r="D36" s="87"/>
      <c r="E36" s="87"/>
      <c r="F36" s="87"/>
      <c r="G36" s="87" t="s">
        <v>151</v>
      </c>
      <c r="H36" s="87" t="s">
        <v>151</v>
      </c>
      <c r="I36" s="87"/>
      <c r="J36" s="87"/>
      <c r="K36" s="87"/>
    </row>
    <row r="37" spans="1:11" x14ac:dyDescent="0.25">
      <c r="A37" s="29" t="s">
        <v>198</v>
      </c>
      <c r="B37" s="87"/>
      <c r="C37" s="87"/>
      <c r="D37" s="87"/>
      <c r="E37" s="87"/>
      <c r="F37" s="87"/>
      <c r="G37" s="87" t="s">
        <v>151</v>
      </c>
      <c r="H37" s="87" t="s">
        <v>151</v>
      </c>
      <c r="I37" s="87"/>
      <c r="J37" s="87"/>
      <c r="K37" s="87"/>
    </row>
    <row r="38" spans="1:11" x14ac:dyDescent="0.25">
      <c r="A38" s="29" t="s">
        <v>199</v>
      </c>
      <c r="B38" s="87"/>
      <c r="C38" s="87"/>
      <c r="D38" s="87"/>
      <c r="E38" s="87"/>
      <c r="F38" s="87"/>
      <c r="G38" s="87"/>
      <c r="H38" s="87" t="s">
        <v>151</v>
      </c>
      <c r="I38" s="87"/>
      <c r="J38" s="87"/>
      <c r="K38" s="87"/>
    </row>
    <row r="39" spans="1:11" x14ac:dyDescent="0.25">
      <c r="A39" s="29" t="s">
        <v>200</v>
      </c>
      <c r="B39" s="87" t="s">
        <v>151</v>
      </c>
      <c r="C39" s="87"/>
      <c r="D39" s="87"/>
      <c r="E39" s="87"/>
      <c r="F39" s="87"/>
      <c r="G39" s="87" t="s">
        <v>151</v>
      </c>
      <c r="H39" s="87" t="s">
        <v>151</v>
      </c>
      <c r="I39" s="87"/>
      <c r="J39" s="87"/>
      <c r="K39" s="87"/>
    </row>
  </sheetData>
  <sheetProtection algorithmName="SHA-512" hashValue="9cykIe1ZRKVjOmKXnovNV4ITQoYIf+NbHZyDCb8Lkih5hUEAlCmn/bs2tFbE7JzXna+eOzl4k5x2yoLmSADKNA==" saltValue="XGeTPSnT0Qn0I58QSIHiC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67" bestFit="1" customWidth="1"/>
    <col min="2" max="2" width="8.6328125" style="67" bestFit="1" customWidth="1"/>
    <col min="3" max="3" width="8.90625" style="67" bestFit="1" customWidth="1"/>
    <col min="4" max="4" width="18.36328125" style="67" bestFit="1" customWidth="1"/>
    <col min="5" max="5" width="17.453125" style="67" bestFit="1" customWidth="1"/>
    <col min="6" max="6" width="13.54296875" style="67" bestFit="1" customWidth="1"/>
    <col min="7" max="7" width="9.81640625" style="67" bestFit="1" customWidth="1"/>
    <col min="8" max="8" width="8.90625" style="67" bestFit="1" customWidth="1"/>
    <col min="9" max="9" width="14.81640625" style="67" bestFit="1" customWidth="1"/>
    <col min="10" max="10" width="15.36328125" style="67" bestFit="1" customWidth="1"/>
    <col min="11" max="11" width="12.81640625" style="67" customWidth="1"/>
    <col min="12" max="16384" width="12.81640625" style="67"/>
  </cols>
  <sheetData>
    <row r="1" spans="1:11" ht="13" customHeight="1" x14ac:dyDescent="0.3">
      <c r="A1" s="57" t="s">
        <v>230</v>
      </c>
      <c r="B1" s="67" t="s">
        <v>225</v>
      </c>
      <c r="C1" s="67" t="s">
        <v>111</v>
      </c>
      <c r="D1" s="67" t="s">
        <v>226</v>
      </c>
      <c r="E1" s="67" t="s">
        <v>227</v>
      </c>
      <c r="F1" s="67" t="s">
        <v>118</v>
      </c>
      <c r="G1" s="67" t="s">
        <v>81</v>
      </c>
      <c r="H1" s="67" t="s">
        <v>32</v>
      </c>
      <c r="I1" s="67" t="s">
        <v>228</v>
      </c>
      <c r="J1" s="67" t="s">
        <v>25</v>
      </c>
      <c r="K1" s="67" t="s">
        <v>229</v>
      </c>
    </row>
    <row r="2" spans="1:11" x14ac:dyDescent="0.25">
      <c r="A2" s="67" t="s">
        <v>67</v>
      </c>
      <c r="B2" s="87" t="s">
        <v>151</v>
      </c>
      <c r="C2" s="87" t="s">
        <v>151</v>
      </c>
      <c r="D2" s="87" t="s">
        <v>151</v>
      </c>
      <c r="E2" s="87" t="s">
        <v>151</v>
      </c>
      <c r="F2" s="87" t="s">
        <v>151</v>
      </c>
      <c r="G2" s="87" t="s">
        <v>151</v>
      </c>
      <c r="H2" s="87" t="s">
        <v>151</v>
      </c>
      <c r="I2" s="87"/>
      <c r="J2" s="87"/>
      <c r="K2" s="87"/>
    </row>
    <row r="3" spans="1:11" x14ac:dyDescent="0.25">
      <c r="A3" s="67" t="s">
        <v>77</v>
      </c>
      <c r="B3" s="87" t="s">
        <v>151</v>
      </c>
      <c r="C3" s="87" t="s">
        <v>151</v>
      </c>
      <c r="D3" s="87" t="s">
        <v>151</v>
      </c>
      <c r="E3" s="87" t="s">
        <v>151</v>
      </c>
      <c r="F3" s="87" t="s">
        <v>151</v>
      </c>
      <c r="G3" s="87" t="s">
        <v>151</v>
      </c>
      <c r="H3" s="87" t="s">
        <v>151</v>
      </c>
      <c r="I3" s="87"/>
      <c r="J3" s="87"/>
      <c r="K3" s="87"/>
    </row>
    <row r="4" spans="1:11" x14ac:dyDescent="0.25">
      <c r="A4" s="67" t="s">
        <v>78</v>
      </c>
      <c r="B4" s="87" t="s">
        <v>151</v>
      </c>
      <c r="C4" s="87" t="s">
        <v>151</v>
      </c>
      <c r="D4" s="87" t="s">
        <v>151</v>
      </c>
      <c r="E4" s="87" t="s">
        <v>151</v>
      </c>
      <c r="F4" s="87" t="s">
        <v>151</v>
      </c>
      <c r="G4" s="87" t="s">
        <v>151</v>
      </c>
      <c r="H4" s="87" t="s">
        <v>151</v>
      </c>
      <c r="I4" s="87"/>
      <c r="J4" s="87"/>
      <c r="K4" s="87"/>
    </row>
    <row r="5" spans="1:11" x14ac:dyDescent="0.25">
      <c r="A5" s="67" t="s">
        <v>79</v>
      </c>
      <c r="B5" s="87" t="s">
        <v>151</v>
      </c>
      <c r="C5" s="87" t="s">
        <v>151</v>
      </c>
      <c r="D5" s="87" t="s">
        <v>151</v>
      </c>
      <c r="E5" s="87" t="s">
        <v>151</v>
      </c>
      <c r="F5" s="87" t="s">
        <v>151</v>
      </c>
      <c r="G5" s="87" t="s">
        <v>151</v>
      </c>
      <c r="H5" s="87" t="s">
        <v>151</v>
      </c>
      <c r="I5" s="87"/>
      <c r="J5" s="87"/>
      <c r="K5" s="87"/>
    </row>
    <row r="6" spans="1:11" x14ac:dyDescent="0.25">
      <c r="A6" s="67" t="s">
        <v>80</v>
      </c>
      <c r="B6" s="87" t="s">
        <v>151</v>
      </c>
      <c r="C6" s="87" t="s">
        <v>151</v>
      </c>
      <c r="D6" s="87" t="s">
        <v>151</v>
      </c>
      <c r="E6" s="87" t="s">
        <v>151</v>
      </c>
      <c r="F6" s="87" t="s">
        <v>151</v>
      </c>
      <c r="G6" s="87" t="s">
        <v>151</v>
      </c>
      <c r="H6" s="87" t="s">
        <v>151</v>
      </c>
      <c r="I6" s="87"/>
      <c r="J6" s="87"/>
      <c r="K6" s="87"/>
    </row>
    <row r="7" spans="1:11" x14ac:dyDescent="0.25">
      <c r="A7" s="67" t="s">
        <v>112</v>
      </c>
      <c r="B7" s="87"/>
      <c r="C7" s="87" t="s">
        <v>151</v>
      </c>
      <c r="D7" s="87"/>
      <c r="E7" s="87"/>
      <c r="F7" s="87"/>
      <c r="G7" s="87"/>
      <c r="H7" s="87" t="s">
        <v>151</v>
      </c>
      <c r="I7" s="87" t="s">
        <v>151</v>
      </c>
      <c r="J7" s="87"/>
      <c r="K7" s="87"/>
    </row>
    <row r="8" spans="1:11" x14ac:dyDescent="0.25">
      <c r="A8" s="67" t="s">
        <v>113</v>
      </c>
      <c r="B8" s="87"/>
      <c r="C8" s="87" t="s">
        <v>151</v>
      </c>
      <c r="D8" s="87"/>
      <c r="E8" s="87"/>
      <c r="F8" s="87"/>
      <c r="G8" s="87"/>
      <c r="H8" s="87" t="s">
        <v>151</v>
      </c>
      <c r="I8" s="87" t="s">
        <v>151</v>
      </c>
      <c r="J8" s="87"/>
      <c r="K8" s="87"/>
    </row>
    <row r="9" spans="1:11" x14ac:dyDescent="0.25">
      <c r="A9" s="67" t="s">
        <v>114</v>
      </c>
      <c r="B9" s="87"/>
      <c r="C9" s="87" t="s">
        <v>151</v>
      </c>
      <c r="D9" s="87"/>
      <c r="E9" s="87"/>
      <c r="F9" s="87"/>
      <c r="G9" s="87"/>
      <c r="H9" s="87" t="s">
        <v>151</v>
      </c>
      <c r="I9" s="87" t="s">
        <v>151</v>
      </c>
      <c r="J9" s="87"/>
      <c r="K9" s="87"/>
    </row>
    <row r="10" spans="1:11" x14ac:dyDescent="0.25">
      <c r="A10" s="67" t="s">
        <v>115</v>
      </c>
      <c r="B10" s="87"/>
      <c r="C10" s="87" t="s">
        <v>151</v>
      </c>
      <c r="D10" s="87"/>
      <c r="E10" s="87"/>
      <c r="F10" s="87"/>
      <c r="G10" s="87"/>
      <c r="H10" s="87" t="s">
        <v>151</v>
      </c>
      <c r="I10" s="87" t="s">
        <v>151</v>
      </c>
      <c r="J10" s="87"/>
      <c r="K10" s="87"/>
    </row>
    <row r="11" spans="1:11" x14ac:dyDescent="0.25">
      <c r="A11" s="67" t="s">
        <v>58</v>
      </c>
      <c r="B11" s="87"/>
      <c r="C11" s="87" t="s">
        <v>151</v>
      </c>
      <c r="D11" s="87"/>
      <c r="E11" s="87"/>
      <c r="F11" s="87"/>
      <c r="G11" s="87"/>
      <c r="H11" s="87"/>
      <c r="I11" s="87"/>
      <c r="J11" s="87" t="s">
        <v>151</v>
      </c>
      <c r="K11" s="87" t="s">
        <v>151</v>
      </c>
    </row>
    <row r="12" spans="1:11" x14ac:dyDescent="0.25">
      <c r="A12" s="67" t="s">
        <v>59</v>
      </c>
      <c r="B12" s="87"/>
      <c r="C12" s="87" t="s">
        <v>151</v>
      </c>
      <c r="D12" s="87"/>
      <c r="E12" s="87"/>
      <c r="F12" s="87"/>
      <c r="G12" s="87"/>
      <c r="H12" s="87"/>
      <c r="I12" s="87"/>
      <c r="J12" s="87"/>
      <c r="K12" s="87" t="s">
        <v>151</v>
      </c>
    </row>
    <row r="13" spans="1:11" x14ac:dyDescent="0.25">
      <c r="A13" s="67" t="s">
        <v>60</v>
      </c>
      <c r="B13" s="87"/>
      <c r="C13" s="87" t="s">
        <v>151</v>
      </c>
      <c r="D13" s="87"/>
      <c r="E13" s="87"/>
      <c r="F13" s="87"/>
      <c r="G13" s="87"/>
      <c r="H13" s="87"/>
      <c r="I13" s="87"/>
      <c r="J13" s="87"/>
      <c r="K13" s="87" t="s">
        <v>151</v>
      </c>
    </row>
    <row r="14" spans="1:11" x14ac:dyDescent="0.25">
      <c r="A14" s="67" t="s">
        <v>61</v>
      </c>
      <c r="B14" s="87"/>
      <c r="C14" s="87" t="s">
        <v>151</v>
      </c>
      <c r="D14" s="87"/>
      <c r="E14" s="87"/>
      <c r="F14" s="87"/>
      <c r="G14" s="87"/>
      <c r="H14" s="87"/>
      <c r="I14" s="87"/>
      <c r="J14" s="87"/>
      <c r="K14" s="87" t="s">
        <v>151</v>
      </c>
    </row>
  </sheetData>
  <sheetProtection algorithmName="SHA-512" hashValue="MtphccgMyJQG/lAX5ZKegz1XFO24APQCR1hbqIGWHW98XOptelJspcP1+9iBspoKYnf4MYSY37KV+lwTcTEY3A==" saltValue="nH9rw6BuW3J5Vw0YqP/Hd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6" sqref="D56"/>
    </sheetView>
  </sheetViews>
  <sheetFormatPr defaultColWidth="12.81640625" defaultRowHeight="12.5" x14ac:dyDescent="0.25"/>
  <cols>
    <col min="1" max="1" width="48.08984375" style="67" customWidth="1"/>
    <col min="2" max="2" width="15" style="67" customWidth="1"/>
    <col min="3" max="3" width="14.6328125" style="67" customWidth="1"/>
    <col min="4" max="4" width="12.81640625" style="67" customWidth="1"/>
    <col min="5" max="16384" width="12.81640625" style="67"/>
  </cols>
  <sheetData>
    <row r="1" spans="1:10" ht="13" customHeight="1" x14ac:dyDescent="0.3">
      <c r="A1" s="57" t="s">
        <v>231</v>
      </c>
      <c r="B1" s="57" t="s">
        <v>144</v>
      </c>
      <c r="C1" s="57" t="s">
        <v>159</v>
      </c>
      <c r="D1" s="57" t="s">
        <v>67</v>
      </c>
      <c r="E1" s="57" t="s">
        <v>77</v>
      </c>
      <c r="F1" s="57" t="s">
        <v>78</v>
      </c>
      <c r="G1" s="57" t="s">
        <v>79</v>
      </c>
      <c r="H1" s="57" t="s">
        <v>80</v>
      </c>
    </row>
    <row r="2" spans="1:10" ht="13" customHeight="1" x14ac:dyDescent="0.3">
      <c r="A2" s="57" t="s">
        <v>232</v>
      </c>
      <c r="B2" s="121" t="s">
        <v>90</v>
      </c>
      <c r="C2" s="67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22"/>
      <c r="C3" s="67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58"/>
    </row>
    <row r="4" spans="1:10" x14ac:dyDescent="0.25">
      <c r="B4" s="122"/>
      <c r="C4" s="67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58"/>
    </row>
    <row r="5" spans="1:10" x14ac:dyDescent="0.25">
      <c r="B5" s="121" t="s">
        <v>67</v>
      </c>
      <c r="C5" s="67" t="s">
        <v>145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22"/>
      <c r="C6" s="67" t="s">
        <v>146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22"/>
      <c r="C7" s="67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21" t="s">
        <v>77</v>
      </c>
      <c r="C8" s="67" t="s">
        <v>145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5">
      <c r="B9" s="122"/>
      <c r="C9" s="67" t="s">
        <v>146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5">
      <c r="B10" s="122"/>
      <c r="C10" s="67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21" t="s">
        <v>78</v>
      </c>
      <c r="C11" s="67" t="s">
        <v>145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5">
      <c r="B12" s="122"/>
      <c r="C12" s="67" t="s">
        <v>146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5">
      <c r="B13" s="122"/>
      <c r="C13" s="67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21" t="s">
        <v>79</v>
      </c>
      <c r="C14" s="67" t="s">
        <v>145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5">
      <c r="B15" s="122"/>
      <c r="C15" s="67" t="s">
        <v>146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5">
      <c r="B16" s="122"/>
      <c r="C16" s="67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103" t="s">
        <v>149</v>
      </c>
      <c r="C17" s="67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57" t="s">
        <v>233</v>
      </c>
      <c r="B19" s="121" t="s">
        <v>90</v>
      </c>
      <c r="C19" s="67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22"/>
      <c r="C20" s="67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22"/>
      <c r="C21" s="67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21" t="s">
        <v>67</v>
      </c>
      <c r="C22" s="67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22"/>
      <c r="C23" s="67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22"/>
      <c r="C24" s="67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21" t="s">
        <v>77</v>
      </c>
      <c r="C25" s="67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22"/>
      <c r="C26" s="67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22"/>
      <c r="C27" s="67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21" t="s">
        <v>78</v>
      </c>
      <c r="C28" s="67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22"/>
      <c r="C29" s="67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22"/>
      <c r="C30" s="67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21" t="s">
        <v>79</v>
      </c>
      <c r="C31" s="67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22"/>
      <c r="C32" s="67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22"/>
      <c r="C33" s="67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103" t="s">
        <v>149</v>
      </c>
      <c r="C34" s="67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59" t="s">
        <v>234</v>
      </c>
      <c r="B36" s="121" t="s">
        <v>90</v>
      </c>
      <c r="C36" s="67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22"/>
      <c r="C37" s="67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22"/>
      <c r="C38" s="67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21" t="s">
        <v>67</v>
      </c>
      <c r="C39" s="67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22"/>
      <c r="C40" s="67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22"/>
      <c r="C41" s="67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21" t="s">
        <v>77</v>
      </c>
      <c r="C42" s="67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22"/>
      <c r="C43" s="67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22"/>
      <c r="C44" s="67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21" t="s">
        <v>78</v>
      </c>
      <c r="C45" s="67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22"/>
      <c r="C46" s="67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22"/>
      <c r="C47" s="67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21" t="s">
        <v>79</v>
      </c>
      <c r="C48" s="67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22"/>
      <c r="C49" s="67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22"/>
      <c r="C50" s="67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103" t="s">
        <v>149</v>
      </c>
      <c r="C51" s="67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1" t="s">
        <v>235</v>
      </c>
      <c r="B53" s="91"/>
      <c r="C53" s="91"/>
      <c r="D53" s="91"/>
      <c r="E53" s="91"/>
      <c r="F53" s="91"/>
      <c r="G53" s="91"/>
      <c r="H53" s="91"/>
    </row>
    <row r="54" spans="1:8" ht="13" customHeight="1" x14ac:dyDescent="0.3">
      <c r="A54" s="57" t="s">
        <v>231</v>
      </c>
      <c r="B54" s="57" t="s">
        <v>144</v>
      </c>
      <c r="C54" s="57" t="s">
        <v>159</v>
      </c>
      <c r="D54" s="57" t="s">
        <v>67</v>
      </c>
      <c r="E54" s="57" t="s">
        <v>77</v>
      </c>
      <c r="F54" s="57" t="s">
        <v>78</v>
      </c>
      <c r="G54" s="57" t="s">
        <v>79</v>
      </c>
      <c r="H54" s="57" t="s">
        <v>80</v>
      </c>
    </row>
    <row r="55" spans="1:8" ht="13" customHeight="1" x14ac:dyDescent="0.3">
      <c r="A55" s="57" t="s">
        <v>236</v>
      </c>
      <c r="B55" s="121" t="s">
        <v>90</v>
      </c>
      <c r="C55" s="67" t="s">
        <v>145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5">
      <c r="B56" s="122"/>
      <c r="C56" s="67" t="s">
        <v>146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5">
      <c r="B57" s="122"/>
      <c r="C57" s="67" t="s">
        <v>147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5">
      <c r="B58" s="121" t="s">
        <v>67</v>
      </c>
      <c r="C58" s="67" t="s">
        <v>145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5">
      <c r="B59" s="122"/>
      <c r="C59" s="67" t="s">
        <v>146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5">
      <c r="B60" s="122"/>
      <c r="C60" s="67" t="s">
        <v>147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5">
      <c r="B61" s="121" t="s">
        <v>77</v>
      </c>
      <c r="C61" s="67" t="s">
        <v>145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5">
      <c r="B62" s="122"/>
      <c r="C62" s="67" t="s">
        <v>146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5">
      <c r="B63" s="122"/>
      <c r="C63" s="67" t="s">
        <v>147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5">
      <c r="B64" s="121" t="s">
        <v>78</v>
      </c>
      <c r="C64" s="67" t="s">
        <v>145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5">
      <c r="B65" s="122"/>
      <c r="C65" s="67" t="s">
        <v>146</v>
      </c>
      <c r="D65" s="88">
        <f t="shared" ref="D65:H74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5">
      <c r="B66" s="122"/>
      <c r="C66" s="67" t="s">
        <v>147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5">
      <c r="B67" s="121" t="s">
        <v>79</v>
      </c>
      <c r="C67" s="67" t="s">
        <v>145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5">
      <c r="B68" s="122"/>
      <c r="C68" s="67" t="s">
        <v>146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5">
      <c r="B69" s="122"/>
      <c r="C69" s="67" t="s">
        <v>147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ht="13" customHeight="1" x14ac:dyDescent="0.25">
      <c r="B70" s="103" t="s">
        <v>149</v>
      </c>
      <c r="C70" s="67" t="s">
        <v>147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57" t="s">
        <v>237</v>
      </c>
      <c r="B72" s="121" t="s">
        <v>90</v>
      </c>
      <c r="C72" s="67" t="s">
        <v>145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5">
      <c r="B73" s="122"/>
      <c r="C73" s="67" t="s">
        <v>146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5">
      <c r="B74" s="122"/>
      <c r="C74" s="67" t="s">
        <v>147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5">
      <c r="B75" s="121" t="s">
        <v>67</v>
      </c>
      <c r="C75" s="67" t="s">
        <v>145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5">
      <c r="B76" s="122"/>
      <c r="C76" s="67" t="s">
        <v>146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5">
      <c r="B77" s="122"/>
      <c r="C77" s="67" t="s">
        <v>147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5">
      <c r="B78" s="121" t="s">
        <v>77</v>
      </c>
      <c r="C78" s="67" t="s">
        <v>145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5">
      <c r="B79" s="122"/>
      <c r="C79" s="67" t="s">
        <v>146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5">
      <c r="B80" s="122"/>
      <c r="C80" s="67" t="s">
        <v>147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5">
      <c r="B81" s="121" t="s">
        <v>78</v>
      </c>
      <c r="C81" s="67" t="s">
        <v>145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5">
      <c r="B82" s="122"/>
      <c r="C82" s="67" t="s">
        <v>146</v>
      </c>
      <c r="D82" s="88">
        <f t="shared" ref="D82:H91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5">
      <c r="B83" s="122"/>
      <c r="C83" s="67" t="s">
        <v>147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5">
      <c r="B84" s="121" t="s">
        <v>79</v>
      </c>
      <c r="C84" s="67" t="s">
        <v>145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5">
      <c r="B85" s="122"/>
      <c r="C85" s="67" t="s">
        <v>146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5">
      <c r="B86" s="122"/>
      <c r="C86" s="67" t="s">
        <v>147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ht="13" customHeight="1" x14ac:dyDescent="0.25">
      <c r="B87" s="103" t="s">
        <v>149</v>
      </c>
      <c r="C87" s="67" t="s">
        <v>147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59" t="s">
        <v>238</v>
      </c>
      <c r="B89" s="121" t="s">
        <v>90</v>
      </c>
      <c r="C89" s="67" t="s">
        <v>145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5">
      <c r="B90" s="122"/>
      <c r="C90" s="67" t="s">
        <v>146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5">
      <c r="B91" s="122"/>
      <c r="C91" s="67" t="s">
        <v>147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5">
      <c r="B92" s="121" t="s">
        <v>67</v>
      </c>
      <c r="C92" s="67" t="s">
        <v>145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5">
      <c r="B93" s="122"/>
      <c r="C93" s="67" t="s">
        <v>146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5">
      <c r="B94" s="122"/>
      <c r="C94" s="67" t="s">
        <v>147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5">
      <c r="B95" s="121" t="s">
        <v>77</v>
      </c>
      <c r="C95" s="67" t="s">
        <v>145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5">
      <c r="B96" s="122"/>
      <c r="C96" s="67" t="s">
        <v>146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5">
      <c r="B97" s="122"/>
      <c r="C97" s="67" t="s">
        <v>147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5">
      <c r="B98" s="121" t="s">
        <v>78</v>
      </c>
      <c r="C98" s="67" t="s">
        <v>145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5">
      <c r="B99" s="122"/>
      <c r="C99" s="67" t="s">
        <v>146</v>
      </c>
      <c r="D99" s="88">
        <f t="shared" ref="D99:H108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5">
      <c r="B100" s="122"/>
      <c r="C100" s="67" t="s">
        <v>147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5">
      <c r="B101" s="121" t="s">
        <v>79</v>
      </c>
      <c r="C101" s="67" t="s">
        <v>145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5">
      <c r="B102" s="122"/>
      <c r="C102" s="67" t="s">
        <v>146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5">
      <c r="B103" s="122"/>
      <c r="C103" s="67" t="s">
        <v>147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ht="13" customHeight="1" x14ac:dyDescent="0.25">
      <c r="B104" s="103" t="s">
        <v>149</v>
      </c>
      <c r="C104" s="67" t="s">
        <v>147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ht="13" customHeight="1" x14ac:dyDescent="0.3">
      <c r="A106" s="91" t="s">
        <v>239</v>
      </c>
      <c r="B106" s="91"/>
      <c r="C106" s="91"/>
      <c r="D106" s="91"/>
      <c r="E106" s="91"/>
      <c r="F106" s="91"/>
      <c r="G106" s="91"/>
      <c r="H106" s="91"/>
    </row>
    <row r="107" spans="1:8" ht="13" customHeight="1" x14ac:dyDescent="0.3">
      <c r="A107" s="57" t="s">
        <v>231</v>
      </c>
      <c r="B107" s="57" t="s">
        <v>144</v>
      </c>
      <c r="C107" s="57" t="s">
        <v>159</v>
      </c>
      <c r="D107" s="57" t="s">
        <v>67</v>
      </c>
      <c r="E107" s="57" t="s">
        <v>77</v>
      </c>
      <c r="F107" s="57" t="s">
        <v>78</v>
      </c>
      <c r="G107" s="57" t="s">
        <v>79</v>
      </c>
      <c r="H107" s="57" t="s">
        <v>80</v>
      </c>
    </row>
    <row r="108" spans="1:8" ht="13" customHeight="1" x14ac:dyDescent="0.3">
      <c r="A108" s="57" t="s">
        <v>240</v>
      </c>
      <c r="B108" s="121" t="s">
        <v>90</v>
      </c>
      <c r="C108" s="67" t="s">
        <v>145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5">
      <c r="B109" s="122"/>
      <c r="C109" s="67" t="s">
        <v>146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5">
      <c r="B110" s="122"/>
      <c r="C110" s="67" t="s">
        <v>147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5">
      <c r="B111" s="121" t="s">
        <v>67</v>
      </c>
      <c r="C111" s="67" t="s">
        <v>145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5">
      <c r="B112" s="122"/>
      <c r="C112" s="67" t="s">
        <v>146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5">
      <c r="B113" s="122"/>
      <c r="C113" s="67" t="s">
        <v>147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5">
      <c r="B114" s="121" t="s">
        <v>77</v>
      </c>
      <c r="C114" s="67" t="s">
        <v>145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5">
      <c r="B115" s="122"/>
      <c r="C115" s="67" t="s">
        <v>146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5">
      <c r="B116" s="122"/>
      <c r="C116" s="67" t="s">
        <v>147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5">
      <c r="B117" s="121" t="s">
        <v>78</v>
      </c>
      <c r="C117" s="67" t="s">
        <v>145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5">
      <c r="B118" s="122"/>
      <c r="C118" s="67" t="s">
        <v>146</v>
      </c>
      <c r="D118" s="88">
        <f t="shared" ref="D118:H127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5">
      <c r="B119" s="122"/>
      <c r="C119" s="67" t="s">
        <v>147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5">
      <c r="B120" s="121" t="s">
        <v>79</v>
      </c>
      <c r="C120" s="67" t="s">
        <v>145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5">
      <c r="B121" s="122"/>
      <c r="C121" s="67" t="s">
        <v>146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5">
      <c r="B122" s="122"/>
      <c r="C122" s="67" t="s">
        <v>147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ht="13" customHeight="1" x14ac:dyDescent="0.25">
      <c r="B123" s="103" t="s">
        <v>149</v>
      </c>
      <c r="C123" s="67" t="s">
        <v>147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57" t="s">
        <v>241</v>
      </c>
      <c r="B125" s="121" t="s">
        <v>90</v>
      </c>
      <c r="C125" s="67" t="s">
        <v>145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5">
      <c r="B126" s="122"/>
      <c r="C126" s="67" t="s">
        <v>146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5">
      <c r="B127" s="122"/>
      <c r="C127" s="67" t="s">
        <v>147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5">
      <c r="B128" s="121" t="s">
        <v>67</v>
      </c>
      <c r="C128" s="67" t="s">
        <v>145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5">
      <c r="B129" s="122"/>
      <c r="C129" s="67" t="s">
        <v>146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5">
      <c r="B130" s="122"/>
      <c r="C130" s="67" t="s">
        <v>147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5">
      <c r="B131" s="121" t="s">
        <v>77</v>
      </c>
      <c r="C131" s="67" t="s">
        <v>145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5">
      <c r="B132" s="122"/>
      <c r="C132" s="67" t="s">
        <v>146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5">
      <c r="B133" s="122"/>
      <c r="C133" s="67" t="s">
        <v>147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5">
      <c r="B134" s="121" t="s">
        <v>78</v>
      </c>
      <c r="C134" s="67" t="s">
        <v>145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5">
      <c r="B135" s="122"/>
      <c r="C135" s="67" t="s">
        <v>146</v>
      </c>
      <c r="D135" s="88">
        <f t="shared" ref="D135:H144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5">
      <c r="B136" s="122"/>
      <c r="C136" s="67" t="s">
        <v>147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5">
      <c r="B137" s="121" t="s">
        <v>79</v>
      </c>
      <c r="C137" s="67" t="s">
        <v>145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5">
      <c r="B138" s="122"/>
      <c r="C138" s="67" t="s">
        <v>146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5">
      <c r="B139" s="122"/>
      <c r="C139" s="67" t="s">
        <v>147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ht="13" customHeight="1" x14ac:dyDescent="0.25">
      <c r="B140" s="103" t="s">
        <v>149</v>
      </c>
      <c r="C140" s="67" t="s">
        <v>147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59" t="s">
        <v>242</v>
      </c>
      <c r="B142" s="121" t="s">
        <v>90</v>
      </c>
      <c r="C142" s="67" t="s">
        <v>145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5">
      <c r="B143" s="122"/>
      <c r="C143" s="67" t="s">
        <v>146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5">
      <c r="B144" s="122"/>
      <c r="C144" s="67" t="s">
        <v>147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5">
      <c r="B145" s="121" t="s">
        <v>67</v>
      </c>
      <c r="C145" s="67" t="s">
        <v>145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5">
      <c r="B146" s="122"/>
      <c r="C146" s="67" t="s">
        <v>146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5">
      <c r="B147" s="122"/>
      <c r="C147" s="67" t="s">
        <v>147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5">
      <c r="B148" s="121" t="s">
        <v>77</v>
      </c>
      <c r="C148" s="67" t="s">
        <v>145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5">
      <c r="B149" s="122"/>
      <c r="C149" s="67" t="s">
        <v>146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5">
      <c r="B150" s="122"/>
      <c r="C150" s="67" t="s">
        <v>147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5">
      <c r="B151" s="121" t="s">
        <v>78</v>
      </c>
      <c r="C151" s="67" t="s">
        <v>145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5">
      <c r="B152" s="122"/>
      <c r="C152" s="67" t="s">
        <v>146</v>
      </c>
      <c r="D152" s="88">
        <f t="shared" ref="D152:H161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5">
      <c r="B153" s="122"/>
      <c r="C153" s="67" t="s">
        <v>147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5">
      <c r="B154" s="121" t="s">
        <v>79</v>
      </c>
      <c r="C154" s="67" t="s">
        <v>145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5">
      <c r="B155" s="122"/>
      <c r="C155" s="67" t="s">
        <v>146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5">
      <c r="B156" s="122"/>
      <c r="C156" s="67" t="s">
        <v>147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ht="13" customHeight="1" x14ac:dyDescent="0.25">
      <c r="B157" s="103" t="s">
        <v>149</v>
      </c>
      <c r="C157" s="67" t="s">
        <v>147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tZBaUtIru9iNOWf3zxsunL8jDWZj4E3t4c48tVhszEHurn9cbfno9Ec+aLBgYM7baqcdSLIOFD1VjZXhLtyVmQ==" saltValue="fBBZLhmA9+f30h0I0wywgQ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C4" sqref="C4"/>
    </sheetView>
  </sheetViews>
  <sheetFormatPr defaultColWidth="16.08984375" defaultRowHeight="15.75" customHeight="1" x14ac:dyDescent="0.25"/>
  <cols>
    <col min="1" max="1" width="23.90625" style="67" customWidth="1"/>
    <col min="2" max="2" width="34.08984375" style="67" customWidth="1"/>
    <col min="3" max="3" width="11.36328125" style="67" bestFit="1" customWidth="1"/>
    <col min="4" max="4" width="11.90625" style="67" customWidth="1"/>
    <col min="5" max="6" width="15" style="67" customWidth="1"/>
    <col min="7" max="7" width="16.08984375" style="67" customWidth="1"/>
    <col min="8" max="16384" width="16.08984375" style="67"/>
  </cols>
  <sheetData>
    <row r="1" spans="1:6" s="70" customFormat="1" ht="18.75" customHeight="1" x14ac:dyDescent="0.3">
      <c r="A1" s="60" t="s">
        <v>243</v>
      </c>
    </row>
    <row r="2" spans="1:6" ht="15.75" customHeight="1" x14ac:dyDescent="0.3">
      <c r="B2" s="80"/>
      <c r="C2" s="61" t="s">
        <v>43</v>
      </c>
      <c r="D2" s="62" t="s">
        <v>42</v>
      </c>
      <c r="E2" s="62" t="s">
        <v>41</v>
      </c>
      <c r="F2" s="62" t="s">
        <v>40</v>
      </c>
    </row>
    <row r="3" spans="1:6" ht="15.75" customHeight="1" x14ac:dyDescent="0.3">
      <c r="A3" s="57" t="s">
        <v>244</v>
      </c>
      <c r="B3" s="63"/>
      <c r="C3" s="64"/>
      <c r="D3" s="65"/>
      <c r="E3" s="65"/>
      <c r="F3" s="65"/>
    </row>
    <row r="4" spans="1:6" ht="15.75" customHeight="1" x14ac:dyDescent="0.25">
      <c r="B4" s="7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7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7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7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66"/>
      <c r="D8" s="58"/>
      <c r="E8" s="58"/>
      <c r="F8" s="58"/>
    </row>
    <row r="9" spans="1:6" ht="15.75" customHeight="1" x14ac:dyDescent="0.3">
      <c r="A9" s="57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66"/>
      <c r="D10" s="58"/>
      <c r="E10" s="58"/>
      <c r="F10" s="58"/>
    </row>
    <row r="11" spans="1:6" s="70" customFormat="1" ht="15" customHeight="1" x14ac:dyDescent="0.3">
      <c r="A11" s="60" t="s">
        <v>246</v>
      </c>
      <c r="C11" s="68"/>
      <c r="D11" s="69"/>
      <c r="E11" s="69"/>
      <c r="F11" s="69"/>
    </row>
    <row r="12" spans="1:6" ht="15.75" customHeight="1" x14ac:dyDescent="0.3">
      <c r="A12" s="57" t="s">
        <v>247</v>
      </c>
      <c r="C12" s="66"/>
      <c r="D12" s="58"/>
      <c r="E12" s="58"/>
      <c r="F12" s="58"/>
    </row>
    <row r="13" spans="1:6" ht="15.75" customHeight="1" x14ac:dyDescent="0.25">
      <c r="B13" s="7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7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7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57"/>
      <c r="B16" s="71"/>
      <c r="C16" s="72"/>
      <c r="D16" s="58"/>
      <c r="E16" s="58"/>
      <c r="F16" s="58"/>
    </row>
    <row r="17" spans="1:6" ht="15.75" customHeight="1" x14ac:dyDescent="0.3">
      <c r="A17" s="57" t="s">
        <v>249</v>
      </c>
      <c r="B17" s="63"/>
      <c r="C17" s="73"/>
      <c r="D17" s="74"/>
      <c r="E17" s="74"/>
      <c r="F17" s="74"/>
    </row>
    <row r="18" spans="1:6" ht="15.75" customHeight="1" x14ac:dyDescent="0.25">
      <c r="B18" s="7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75" t="s">
        <v>69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5">
      <c r="B20" s="75" t="s">
        <v>70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5">
      <c r="B21" s="75" t="s">
        <v>71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5">
      <c r="B22" s="7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7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7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7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71"/>
    </row>
    <row r="27" spans="1:6" ht="15.75" customHeight="1" x14ac:dyDescent="0.3">
      <c r="A27" s="91" t="s">
        <v>235</v>
      </c>
      <c r="B27" s="92"/>
      <c r="C27" s="93"/>
      <c r="D27" s="94"/>
      <c r="E27" s="94"/>
      <c r="F27" s="94"/>
    </row>
    <row r="28" spans="1:6" s="70" customFormat="1" ht="18.75" customHeight="1" x14ac:dyDescent="0.3">
      <c r="A28" s="60" t="s">
        <v>243</v>
      </c>
    </row>
    <row r="29" spans="1:6" ht="15.75" customHeight="1" x14ac:dyDescent="0.3">
      <c r="B29" s="80"/>
      <c r="C29" s="61" t="s">
        <v>43</v>
      </c>
      <c r="D29" s="62" t="s">
        <v>42</v>
      </c>
      <c r="E29" s="62" t="s">
        <v>41</v>
      </c>
      <c r="F29" s="62" t="s">
        <v>40</v>
      </c>
    </row>
    <row r="30" spans="1:6" ht="15.75" customHeight="1" x14ac:dyDescent="0.3">
      <c r="A30" s="57" t="s">
        <v>250</v>
      </c>
      <c r="B30" s="63"/>
      <c r="C30" s="64"/>
      <c r="D30" s="65"/>
      <c r="E30" s="65"/>
      <c r="F30" s="65"/>
    </row>
    <row r="31" spans="1:6" ht="15.75" customHeight="1" x14ac:dyDescent="0.25">
      <c r="B31" s="75" t="s">
        <v>26</v>
      </c>
      <c r="C31" s="119">
        <f t="shared" ref="C31:F34" si="0">C4*0.7</f>
        <v>0.7</v>
      </c>
      <c r="D31" s="119">
        <f t="shared" si="0"/>
        <v>0.7</v>
      </c>
      <c r="E31" s="119">
        <f t="shared" si="0"/>
        <v>0.7</v>
      </c>
      <c r="F31" s="119">
        <f t="shared" si="0"/>
        <v>0.7</v>
      </c>
    </row>
    <row r="32" spans="1:6" ht="15.75" customHeight="1" x14ac:dyDescent="0.25">
      <c r="B32" s="75" t="s">
        <v>27</v>
      </c>
      <c r="C32" s="119">
        <f t="shared" si="0"/>
        <v>0.7</v>
      </c>
      <c r="D32" s="119">
        <f t="shared" si="0"/>
        <v>0.98699999999999988</v>
      </c>
      <c r="E32" s="119">
        <f t="shared" si="0"/>
        <v>1.0429999999999999</v>
      </c>
      <c r="F32" s="119">
        <f t="shared" si="0"/>
        <v>2.1209999999999996</v>
      </c>
    </row>
    <row r="33" spans="1:6" ht="15.75" customHeight="1" x14ac:dyDescent="0.25">
      <c r="B33" s="75" t="s">
        <v>28</v>
      </c>
      <c r="C33" s="119">
        <f t="shared" si="0"/>
        <v>0.7</v>
      </c>
      <c r="D33" s="119">
        <f t="shared" si="0"/>
        <v>0.82599999999999996</v>
      </c>
      <c r="E33" s="119">
        <f t="shared" si="0"/>
        <v>0.77</v>
      </c>
      <c r="F33" s="119">
        <f t="shared" si="0"/>
        <v>1.2389999999999999</v>
      </c>
    </row>
    <row r="34" spans="1:6" ht="15.75" customHeight="1" x14ac:dyDescent="0.25">
      <c r="B34" s="75" t="s">
        <v>29</v>
      </c>
      <c r="C34" s="119">
        <f t="shared" si="0"/>
        <v>0.7</v>
      </c>
      <c r="D34" s="119">
        <f t="shared" si="0"/>
        <v>0.7</v>
      </c>
      <c r="E34" s="119">
        <f t="shared" si="0"/>
        <v>0.7</v>
      </c>
      <c r="F34" s="119">
        <f t="shared" si="0"/>
        <v>0.7</v>
      </c>
    </row>
    <row r="35" spans="1:6" ht="15.75" customHeight="1" x14ac:dyDescent="0.25">
      <c r="C35" s="66"/>
      <c r="D35" s="58"/>
      <c r="E35" s="58"/>
      <c r="F35" s="58"/>
    </row>
    <row r="36" spans="1:6" ht="15.75" customHeight="1" x14ac:dyDescent="0.3">
      <c r="A36" s="57" t="s">
        <v>251</v>
      </c>
      <c r="C36" s="119">
        <f>C9*0.7</f>
        <v>0.7</v>
      </c>
      <c r="D36" s="119">
        <f>D9*0.7</f>
        <v>1.071</v>
      </c>
      <c r="E36" s="119">
        <f>E9*0.7</f>
        <v>0.92399999999999993</v>
      </c>
      <c r="F36" s="119">
        <f>F9*0.7</f>
        <v>1.071</v>
      </c>
    </row>
    <row r="38" spans="1:6" ht="15.75" customHeight="1" x14ac:dyDescent="0.3">
      <c r="A38" s="60" t="s">
        <v>246</v>
      </c>
      <c r="B38" s="70"/>
      <c r="C38" s="68"/>
      <c r="D38" s="69"/>
      <c r="E38" s="69"/>
      <c r="F38" s="69"/>
    </row>
    <row r="39" spans="1:6" ht="15.75" customHeight="1" x14ac:dyDescent="0.3">
      <c r="A39" s="57" t="s">
        <v>252</v>
      </c>
      <c r="C39" s="66"/>
      <c r="D39" s="58"/>
      <c r="E39" s="58"/>
      <c r="F39" s="58"/>
    </row>
    <row r="40" spans="1:6" ht="15.75" customHeight="1" x14ac:dyDescent="0.25">
      <c r="B40" s="71" t="s">
        <v>253</v>
      </c>
      <c r="C40" s="119">
        <f t="shared" ref="C40:F42" si="1">C13*0.7</f>
        <v>0.7</v>
      </c>
      <c r="D40" s="119">
        <f t="shared" si="1"/>
        <v>3.5</v>
      </c>
      <c r="E40" s="119">
        <f t="shared" si="1"/>
        <v>4.4799999999999995</v>
      </c>
      <c r="F40" s="119">
        <f t="shared" si="1"/>
        <v>32.549999999999997</v>
      </c>
    </row>
    <row r="41" spans="1:6" ht="15.75" customHeight="1" x14ac:dyDescent="0.25">
      <c r="B41" s="71" t="s">
        <v>254</v>
      </c>
      <c r="C41" s="119">
        <f t="shared" si="1"/>
        <v>0.7</v>
      </c>
      <c r="D41" s="119">
        <f t="shared" si="1"/>
        <v>1.7639999999999998</v>
      </c>
      <c r="E41" s="119">
        <f t="shared" si="1"/>
        <v>1.3719999999999999</v>
      </c>
      <c r="F41" s="119">
        <f t="shared" si="1"/>
        <v>2.9330000000000003</v>
      </c>
    </row>
    <row r="42" spans="1:6" ht="15.75" customHeight="1" x14ac:dyDescent="0.25">
      <c r="B42" s="71" t="s">
        <v>255</v>
      </c>
      <c r="C42" s="119">
        <f t="shared" si="1"/>
        <v>0.7</v>
      </c>
      <c r="D42" s="119">
        <f t="shared" si="1"/>
        <v>1.7639999999999998</v>
      </c>
      <c r="E42" s="119">
        <f t="shared" si="1"/>
        <v>1.3719999999999999</v>
      </c>
      <c r="F42" s="119">
        <f t="shared" si="1"/>
        <v>2.9330000000000003</v>
      </c>
    </row>
    <row r="43" spans="1:6" ht="15.75" customHeight="1" x14ac:dyDescent="0.3">
      <c r="A43" s="57"/>
      <c r="B43" s="71"/>
      <c r="C43" s="72"/>
      <c r="D43" s="58"/>
      <c r="E43" s="58"/>
      <c r="F43" s="58"/>
    </row>
    <row r="44" spans="1:6" ht="15.75" customHeight="1" x14ac:dyDescent="0.3">
      <c r="A44" s="57" t="s">
        <v>256</v>
      </c>
      <c r="B44" s="63"/>
      <c r="C44" s="73"/>
      <c r="D44" s="74"/>
      <c r="E44" s="74"/>
      <c r="F44" s="74"/>
    </row>
    <row r="45" spans="1:6" ht="15.75" customHeight="1" x14ac:dyDescent="0.25">
      <c r="B45" s="75" t="s">
        <v>68</v>
      </c>
      <c r="C45" s="119">
        <f t="shared" ref="C45:F52" si="2">C18*0.7</f>
        <v>0.7</v>
      </c>
      <c r="D45" s="119">
        <f t="shared" si="2"/>
        <v>0.7</v>
      </c>
      <c r="E45" s="119">
        <f t="shared" si="2"/>
        <v>0.7</v>
      </c>
      <c r="F45" s="119">
        <f t="shared" si="2"/>
        <v>0.7</v>
      </c>
    </row>
    <row r="46" spans="1:6" ht="15.75" customHeight="1" x14ac:dyDescent="0.25">
      <c r="B46" s="75" t="s">
        <v>69</v>
      </c>
      <c r="C46" s="119">
        <f t="shared" si="2"/>
        <v>0.7</v>
      </c>
      <c r="D46" s="119">
        <f t="shared" si="2"/>
        <v>1.4489999999999998</v>
      </c>
      <c r="E46" s="119">
        <f t="shared" si="2"/>
        <v>5.613999999999999</v>
      </c>
      <c r="F46" s="119">
        <f t="shared" si="2"/>
        <v>8.0779999999999994</v>
      </c>
    </row>
    <row r="47" spans="1:6" ht="15.75" customHeight="1" x14ac:dyDescent="0.25">
      <c r="B47" s="75" t="s">
        <v>70</v>
      </c>
      <c r="C47" s="119">
        <f t="shared" si="2"/>
        <v>0.7</v>
      </c>
      <c r="D47" s="119">
        <f t="shared" si="2"/>
        <v>1.4489999999999998</v>
      </c>
      <c r="E47" s="119">
        <f t="shared" si="2"/>
        <v>5.613999999999999</v>
      </c>
      <c r="F47" s="119">
        <f t="shared" si="2"/>
        <v>8.0779999999999994</v>
      </c>
    </row>
    <row r="48" spans="1:6" ht="15.75" customHeight="1" x14ac:dyDescent="0.25">
      <c r="B48" s="75" t="s">
        <v>71</v>
      </c>
      <c r="C48" s="119">
        <f t="shared" si="2"/>
        <v>0.7</v>
      </c>
      <c r="D48" s="119">
        <f t="shared" si="2"/>
        <v>1.4489999999999998</v>
      </c>
      <c r="E48" s="119">
        <f t="shared" si="2"/>
        <v>5.613999999999999</v>
      </c>
      <c r="F48" s="119">
        <f t="shared" si="2"/>
        <v>8.0779999999999994</v>
      </c>
    </row>
    <row r="49" spans="1:6" ht="15.75" customHeight="1" x14ac:dyDescent="0.25">
      <c r="B49" s="75" t="s">
        <v>72</v>
      </c>
      <c r="C49" s="119">
        <f t="shared" si="2"/>
        <v>0.7</v>
      </c>
      <c r="D49" s="119">
        <f t="shared" si="2"/>
        <v>0.7</v>
      </c>
      <c r="E49" s="119">
        <f t="shared" si="2"/>
        <v>699.99299999999994</v>
      </c>
      <c r="F49" s="119">
        <f t="shared" si="2"/>
        <v>699.99299999999994</v>
      </c>
    </row>
    <row r="50" spans="1:6" ht="15.75" customHeight="1" x14ac:dyDescent="0.25">
      <c r="B50" s="75" t="s">
        <v>73</v>
      </c>
      <c r="C50" s="119">
        <f t="shared" si="2"/>
        <v>0.7</v>
      </c>
      <c r="D50" s="119">
        <f t="shared" si="2"/>
        <v>0.7</v>
      </c>
      <c r="E50" s="119">
        <f t="shared" si="2"/>
        <v>0.7</v>
      </c>
      <c r="F50" s="119">
        <f t="shared" si="2"/>
        <v>0.7</v>
      </c>
    </row>
    <row r="51" spans="1:6" ht="15.75" customHeight="1" x14ac:dyDescent="0.25">
      <c r="B51" s="75" t="s">
        <v>74</v>
      </c>
      <c r="C51" s="119">
        <f t="shared" si="2"/>
        <v>0.7</v>
      </c>
      <c r="D51" s="119">
        <f t="shared" si="2"/>
        <v>0.7</v>
      </c>
      <c r="E51" s="119">
        <f t="shared" si="2"/>
        <v>0.7</v>
      </c>
      <c r="F51" s="119">
        <f t="shared" si="2"/>
        <v>0.7</v>
      </c>
    </row>
    <row r="52" spans="1:6" ht="15.75" customHeight="1" x14ac:dyDescent="0.25">
      <c r="B52" s="75" t="s">
        <v>75</v>
      </c>
      <c r="C52" s="119">
        <f t="shared" si="2"/>
        <v>0.7</v>
      </c>
      <c r="D52" s="119">
        <f t="shared" si="2"/>
        <v>0.7</v>
      </c>
      <c r="E52" s="119">
        <f t="shared" si="2"/>
        <v>0.7</v>
      </c>
      <c r="F52" s="119">
        <f t="shared" si="2"/>
        <v>0.7</v>
      </c>
    </row>
    <row r="54" spans="1:6" ht="15.75" customHeight="1" x14ac:dyDescent="0.3">
      <c r="A54" s="91" t="s">
        <v>239</v>
      </c>
      <c r="B54" s="92"/>
      <c r="C54" s="93"/>
      <c r="D54" s="94"/>
      <c r="E54" s="94"/>
      <c r="F54" s="94"/>
    </row>
    <row r="55" spans="1:6" s="70" customFormat="1" ht="18.75" customHeight="1" x14ac:dyDescent="0.3">
      <c r="A55" s="60" t="s">
        <v>243</v>
      </c>
    </row>
    <row r="56" spans="1:6" ht="15.75" customHeight="1" x14ac:dyDescent="0.3">
      <c r="B56" s="80"/>
      <c r="C56" s="61" t="s">
        <v>43</v>
      </c>
      <c r="D56" s="62" t="s">
        <v>42</v>
      </c>
      <c r="E56" s="62" t="s">
        <v>41</v>
      </c>
      <c r="F56" s="62" t="s">
        <v>40</v>
      </c>
    </row>
    <row r="57" spans="1:6" ht="15.75" customHeight="1" x14ac:dyDescent="0.3">
      <c r="A57" s="57" t="s">
        <v>257</v>
      </c>
      <c r="B57" s="63"/>
      <c r="C57" s="64"/>
      <c r="D57" s="65"/>
      <c r="E57" s="65"/>
      <c r="F57" s="65"/>
    </row>
    <row r="58" spans="1:6" ht="15.75" customHeight="1" x14ac:dyDescent="0.25">
      <c r="B58" s="75" t="s">
        <v>26</v>
      </c>
      <c r="C58" s="119">
        <f t="shared" ref="C58:F61" si="3">C4*1.3</f>
        <v>1.3</v>
      </c>
      <c r="D58" s="119">
        <f t="shared" si="3"/>
        <v>1.3</v>
      </c>
      <c r="E58" s="119">
        <f t="shared" si="3"/>
        <v>1.3</v>
      </c>
      <c r="F58" s="119">
        <f t="shared" si="3"/>
        <v>1.3</v>
      </c>
    </row>
    <row r="59" spans="1:6" ht="15.75" customHeight="1" x14ac:dyDescent="0.25">
      <c r="B59" s="75" t="s">
        <v>27</v>
      </c>
      <c r="C59" s="119">
        <f t="shared" si="3"/>
        <v>1.3</v>
      </c>
      <c r="D59" s="119">
        <f t="shared" si="3"/>
        <v>1.833</v>
      </c>
      <c r="E59" s="119">
        <f t="shared" si="3"/>
        <v>1.9370000000000001</v>
      </c>
      <c r="F59" s="119">
        <f t="shared" si="3"/>
        <v>3.9390000000000001</v>
      </c>
    </row>
    <row r="60" spans="1:6" ht="15.75" customHeight="1" x14ac:dyDescent="0.25">
      <c r="B60" s="75" t="s">
        <v>28</v>
      </c>
      <c r="C60" s="119">
        <f t="shared" si="3"/>
        <v>1.3</v>
      </c>
      <c r="D60" s="119">
        <f t="shared" si="3"/>
        <v>1.534</v>
      </c>
      <c r="E60" s="119">
        <f t="shared" si="3"/>
        <v>1.4300000000000002</v>
      </c>
      <c r="F60" s="119">
        <f t="shared" si="3"/>
        <v>2.3010000000000002</v>
      </c>
    </row>
    <row r="61" spans="1:6" ht="15.75" customHeight="1" x14ac:dyDescent="0.25">
      <c r="B61" s="75" t="s">
        <v>29</v>
      </c>
      <c r="C61" s="119">
        <f t="shared" si="3"/>
        <v>1.3</v>
      </c>
      <c r="D61" s="119">
        <f t="shared" si="3"/>
        <v>1.3</v>
      </c>
      <c r="E61" s="119">
        <f t="shared" si="3"/>
        <v>1.3</v>
      </c>
      <c r="F61" s="119">
        <f t="shared" si="3"/>
        <v>1.3</v>
      </c>
    </row>
    <row r="62" spans="1:6" ht="15.75" customHeight="1" x14ac:dyDescent="0.25">
      <c r="C62" s="66"/>
      <c r="D62" s="58"/>
      <c r="E62" s="58"/>
      <c r="F62" s="58"/>
    </row>
    <row r="63" spans="1:6" ht="15.75" customHeight="1" x14ac:dyDescent="0.3">
      <c r="A63" s="57" t="s">
        <v>258</v>
      </c>
      <c r="C63" s="119">
        <f>C9*1.3</f>
        <v>1.3</v>
      </c>
      <c r="D63" s="119">
        <f>D9*1.3</f>
        <v>1.9890000000000001</v>
      </c>
      <c r="E63" s="119">
        <f>E9*1.3</f>
        <v>1.7160000000000002</v>
      </c>
      <c r="F63" s="119">
        <f>F9*1.3</f>
        <v>1.9890000000000001</v>
      </c>
    </row>
    <row r="65" spans="1:6" ht="15.75" customHeight="1" x14ac:dyDescent="0.3">
      <c r="A65" s="60" t="s">
        <v>246</v>
      </c>
      <c r="B65" s="70"/>
      <c r="C65" s="68"/>
      <c r="D65" s="69"/>
      <c r="E65" s="69"/>
      <c r="F65" s="69"/>
    </row>
    <row r="66" spans="1:6" ht="15.75" customHeight="1" x14ac:dyDescent="0.3">
      <c r="A66" s="57" t="s">
        <v>259</v>
      </c>
      <c r="C66" s="66"/>
      <c r="D66" s="58"/>
      <c r="E66" s="58"/>
      <c r="F66" s="58"/>
    </row>
    <row r="67" spans="1:6" ht="15.75" customHeight="1" x14ac:dyDescent="0.25">
      <c r="B67" s="71" t="s">
        <v>260</v>
      </c>
      <c r="C67" s="119">
        <f t="shared" ref="C67:F69" si="4">C13*1.3</f>
        <v>1.3</v>
      </c>
      <c r="D67" s="119">
        <f t="shared" si="4"/>
        <v>6.5</v>
      </c>
      <c r="E67" s="119">
        <f t="shared" si="4"/>
        <v>8.32</v>
      </c>
      <c r="F67" s="119">
        <f t="shared" si="4"/>
        <v>60.45</v>
      </c>
    </row>
    <row r="68" spans="1:6" ht="15.75" customHeight="1" x14ac:dyDescent="0.25">
      <c r="B68" s="71" t="s">
        <v>261</v>
      </c>
      <c r="C68" s="119">
        <f t="shared" si="4"/>
        <v>1.3</v>
      </c>
      <c r="D68" s="119">
        <f t="shared" si="4"/>
        <v>3.2760000000000002</v>
      </c>
      <c r="E68" s="119">
        <f t="shared" si="4"/>
        <v>2.548</v>
      </c>
      <c r="F68" s="119">
        <f t="shared" si="4"/>
        <v>5.447000000000001</v>
      </c>
    </row>
    <row r="69" spans="1:6" ht="15.75" customHeight="1" x14ac:dyDescent="0.25">
      <c r="B69" s="71" t="s">
        <v>262</v>
      </c>
      <c r="C69" s="119">
        <f t="shared" si="4"/>
        <v>1.3</v>
      </c>
      <c r="D69" s="119">
        <f t="shared" si="4"/>
        <v>3.2760000000000002</v>
      </c>
      <c r="E69" s="119">
        <f t="shared" si="4"/>
        <v>2.548</v>
      </c>
      <c r="F69" s="119">
        <f t="shared" si="4"/>
        <v>5.447000000000001</v>
      </c>
    </row>
    <row r="70" spans="1:6" ht="15.75" customHeight="1" x14ac:dyDescent="0.3">
      <c r="A70" s="57"/>
      <c r="B70" s="71"/>
      <c r="C70" s="72"/>
      <c r="D70" s="58"/>
      <c r="E70" s="58"/>
      <c r="F70" s="58"/>
    </row>
    <row r="71" spans="1:6" ht="15.75" customHeight="1" x14ac:dyDescent="0.3">
      <c r="A71" s="57" t="s">
        <v>263</v>
      </c>
      <c r="B71" s="63"/>
      <c r="C71" s="73"/>
      <c r="D71" s="74"/>
      <c r="E71" s="74"/>
      <c r="F71" s="74"/>
    </row>
    <row r="72" spans="1:6" ht="15.75" customHeight="1" x14ac:dyDescent="0.25">
      <c r="B72" s="75" t="s">
        <v>68</v>
      </c>
      <c r="C72" s="119">
        <f t="shared" ref="C72:F79" si="5">C18*1.3</f>
        <v>1.3</v>
      </c>
      <c r="D72" s="119">
        <f t="shared" si="5"/>
        <v>1.3</v>
      </c>
      <c r="E72" s="119">
        <f t="shared" si="5"/>
        <v>1.3</v>
      </c>
      <c r="F72" s="119">
        <f t="shared" si="5"/>
        <v>1.3</v>
      </c>
    </row>
    <row r="73" spans="1:6" ht="15.75" customHeight="1" x14ac:dyDescent="0.25">
      <c r="B73" s="75" t="s">
        <v>69</v>
      </c>
      <c r="C73" s="119">
        <f t="shared" si="5"/>
        <v>1.3</v>
      </c>
      <c r="D73" s="119">
        <f t="shared" si="5"/>
        <v>2.6909999999999998</v>
      </c>
      <c r="E73" s="119">
        <f t="shared" si="5"/>
        <v>10.426</v>
      </c>
      <c r="F73" s="119">
        <f t="shared" si="5"/>
        <v>15.001999999999999</v>
      </c>
    </row>
    <row r="74" spans="1:6" ht="15.75" customHeight="1" x14ac:dyDescent="0.25">
      <c r="B74" s="75" t="s">
        <v>70</v>
      </c>
      <c r="C74" s="119">
        <f t="shared" si="5"/>
        <v>1.3</v>
      </c>
      <c r="D74" s="119">
        <f t="shared" si="5"/>
        <v>2.6909999999999998</v>
      </c>
      <c r="E74" s="119">
        <f t="shared" si="5"/>
        <v>10.426</v>
      </c>
      <c r="F74" s="119">
        <f t="shared" si="5"/>
        <v>15.001999999999999</v>
      </c>
    </row>
    <row r="75" spans="1:6" ht="15.75" customHeight="1" x14ac:dyDescent="0.25">
      <c r="B75" s="75" t="s">
        <v>71</v>
      </c>
      <c r="C75" s="119">
        <f t="shared" si="5"/>
        <v>1.3</v>
      </c>
      <c r="D75" s="119">
        <f t="shared" si="5"/>
        <v>2.6909999999999998</v>
      </c>
      <c r="E75" s="119">
        <f t="shared" si="5"/>
        <v>10.426</v>
      </c>
      <c r="F75" s="119">
        <f t="shared" si="5"/>
        <v>15.001999999999999</v>
      </c>
    </row>
    <row r="76" spans="1:6" ht="15.75" customHeight="1" x14ac:dyDescent="0.25">
      <c r="B76" s="75" t="s">
        <v>72</v>
      </c>
      <c r="C76" s="119">
        <f t="shared" si="5"/>
        <v>1.3</v>
      </c>
      <c r="D76" s="119">
        <f t="shared" si="5"/>
        <v>1.3</v>
      </c>
      <c r="E76" s="119">
        <f t="shared" si="5"/>
        <v>1299.9870000000001</v>
      </c>
      <c r="F76" s="119">
        <f t="shared" si="5"/>
        <v>1299.9870000000001</v>
      </c>
    </row>
    <row r="77" spans="1:6" ht="15.75" customHeight="1" x14ac:dyDescent="0.25">
      <c r="B77" s="75" t="s">
        <v>73</v>
      </c>
      <c r="C77" s="119">
        <f t="shared" si="5"/>
        <v>1.3</v>
      </c>
      <c r="D77" s="119">
        <f t="shared" si="5"/>
        <v>1.3</v>
      </c>
      <c r="E77" s="119">
        <f t="shared" si="5"/>
        <v>1.3</v>
      </c>
      <c r="F77" s="119">
        <f t="shared" si="5"/>
        <v>1.3</v>
      </c>
    </row>
    <row r="78" spans="1:6" ht="15.75" customHeight="1" x14ac:dyDescent="0.25">
      <c r="B78" s="75" t="s">
        <v>74</v>
      </c>
      <c r="C78" s="119">
        <f t="shared" si="5"/>
        <v>1.3</v>
      </c>
      <c r="D78" s="119">
        <f t="shared" si="5"/>
        <v>1.3</v>
      </c>
      <c r="E78" s="119">
        <f t="shared" si="5"/>
        <v>1.3</v>
      </c>
      <c r="F78" s="119">
        <f t="shared" si="5"/>
        <v>1.3</v>
      </c>
    </row>
    <row r="79" spans="1:6" ht="15.75" customHeight="1" x14ac:dyDescent="0.25">
      <c r="B79" s="75" t="s">
        <v>75</v>
      </c>
      <c r="C79" s="119">
        <f t="shared" si="5"/>
        <v>1.3</v>
      </c>
      <c r="D79" s="119">
        <f t="shared" si="5"/>
        <v>1.3</v>
      </c>
      <c r="E79" s="119">
        <f t="shared" si="5"/>
        <v>1.3</v>
      </c>
      <c r="F79" s="119">
        <f t="shared" si="5"/>
        <v>1.3</v>
      </c>
    </row>
  </sheetData>
  <sheetProtection algorithmName="SHA-512" hashValue="YYNKvtGQrSM6OvVZ6cUWOmlTrSTL3z3Nk6P5sxBoyFk7xuhZCXrveWKAKgS4rVlCmBHU266zCC80A0hRV5X7Gw==" saltValue="81x5IkiBbXcQvJ8mckiUv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abSelected="1" zoomScaleNormal="100" workbookViewId="0">
      <selection activeCell="C32" sqref="C32:C33"/>
    </sheetView>
  </sheetViews>
  <sheetFormatPr defaultColWidth="12.81640625" defaultRowHeight="12.5" x14ac:dyDescent="0.25"/>
  <cols>
    <col min="1" max="1" width="27.1796875" style="67" customWidth="1"/>
    <col min="2" max="2" width="26.90625" style="67" customWidth="1"/>
    <col min="3" max="3" width="18.36328125" style="67" customWidth="1"/>
    <col min="4" max="8" width="14.81640625" style="67" customWidth="1"/>
    <col min="9" max="12" width="15.36328125" style="67" bestFit="1" customWidth="1"/>
    <col min="13" max="16" width="16.90625" style="67" bestFit="1" customWidth="1"/>
    <col min="17" max="17" width="12.81640625" style="67" customWidth="1"/>
    <col min="18" max="16384" width="12.81640625" style="67"/>
  </cols>
  <sheetData>
    <row r="1" spans="1:16" s="70" customFormat="1" ht="13" customHeight="1" x14ac:dyDescent="0.3">
      <c r="A1" s="60" t="s">
        <v>264</v>
      </c>
    </row>
    <row r="2" spans="1:16" ht="13" customHeight="1" x14ac:dyDescent="0.3">
      <c r="A2" s="78" t="s">
        <v>225</v>
      </c>
      <c r="B2" s="76" t="s">
        <v>265</v>
      </c>
      <c r="C2" s="76" t="s">
        <v>266</v>
      </c>
      <c r="D2" s="62" t="s">
        <v>67</v>
      </c>
      <c r="E2" s="62" t="s">
        <v>77</v>
      </c>
      <c r="F2" s="62" t="s">
        <v>78</v>
      </c>
      <c r="G2" s="62" t="s">
        <v>79</v>
      </c>
      <c r="H2" s="62" t="s">
        <v>80</v>
      </c>
      <c r="I2" s="77"/>
      <c r="J2" s="77"/>
      <c r="K2" s="77"/>
      <c r="L2" s="77"/>
      <c r="M2" s="77"/>
      <c r="N2" s="77"/>
      <c r="O2" s="77"/>
      <c r="P2" s="77"/>
    </row>
    <row r="3" spans="1:16" ht="13" customHeight="1" x14ac:dyDescent="0.3">
      <c r="A3" s="57"/>
      <c r="B3" s="67" t="s">
        <v>81</v>
      </c>
      <c r="C3" s="8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78"/>
      <c r="J3" s="78"/>
      <c r="K3" s="78"/>
      <c r="L3" s="78"/>
      <c r="M3" s="78"/>
      <c r="N3" s="78"/>
      <c r="O3" s="78"/>
      <c r="P3" s="78"/>
    </row>
    <row r="4" spans="1:16" x14ac:dyDescent="0.25">
      <c r="C4" s="8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78"/>
      <c r="J4" s="78"/>
      <c r="K4" s="78"/>
      <c r="L4" s="78"/>
      <c r="M4" s="78"/>
      <c r="N4" s="78"/>
      <c r="O4" s="78"/>
      <c r="P4" s="78"/>
    </row>
    <row r="5" spans="1:16" x14ac:dyDescent="0.25">
      <c r="C5" s="8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78"/>
      <c r="J5" s="78"/>
      <c r="K5" s="78"/>
      <c r="L5" s="78"/>
      <c r="M5" s="78"/>
      <c r="N5" s="78"/>
      <c r="O5" s="78"/>
      <c r="P5" s="78"/>
    </row>
    <row r="6" spans="1:16" x14ac:dyDescent="0.25">
      <c r="C6" s="8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78"/>
      <c r="J6" s="78"/>
      <c r="K6" s="78"/>
      <c r="L6" s="78"/>
      <c r="M6" s="78"/>
      <c r="N6" s="78"/>
      <c r="O6" s="78"/>
      <c r="P6" s="78"/>
    </row>
    <row r="7" spans="1:16" x14ac:dyDescent="0.25">
      <c r="B7" s="67" t="s">
        <v>82</v>
      </c>
      <c r="C7" s="8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78"/>
      <c r="J7" s="78"/>
      <c r="K7" s="78"/>
      <c r="L7" s="78"/>
      <c r="M7" s="78"/>
      <c r="N7" s="78"/>
      <c r="O7" s="78"/>
      <c r="P7" s="78"/>
    </row>
    <row r="8" spans="1:16" x14ac:dyDescent="0.25">
      <c r="C8" s="8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78"/>
      <c r="J8" s="78"/>
      <c r="K8" s="78"/>
      <c r="L8" s="78"/>
      <c r="M8" s="78"/>
      <c r="N8" s="78"/>
      <c r="O8" s="78"/>
      <c r="P8" s="78"/>
    </row>
    <row r="9" spans="1:16" x14ac:dyDescent="0.25">
      <c r="C9" s="8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78"/>
      <c r="J9" s="78"/>
      <c r="K9" s="78"/>
      <c r="L9" s="78"/>
      <c r="M9" s="78"/>
      <c r="N9" s="78"/>
      <c r="O9" s="78"/>
      <c r="P9" s="78"/>
    </row>
    <row r="10" spans="1:16" x14ac:dyDescent="0.25">
      <c r="C10" s="8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78"/>
      <c r="J10" s="78"/>
      <c r="K10" s="78"/>
      <c r="L10" s="78"/>
      <c r="M10" s="78"/>
      <c r="N10" s="78"/>
      <c r="O10" s="78"/>
      <c r="P10" s="78"/>
    </row>
    <row r="11" spans="1:16" x14ac:dyDescent="0.25">
      <c r="B11" s="67" t="s">
        <v>84</v>
      </c>
      <c r="C11" s="8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78"/>
      <c r="J11" s="78"/>
      <c r="K11" s="78"/>
      <c r="L11" s="78"/>
      <c r="M11" s="78"/>
      <c r="N11" s="78"/>
      <c r="O11" s="78"/>
      <c r="P11" s="78"/>
    </row>
    <row r="12" spans="1:16" x14ac:dyDescent="0.25">
      <c r="C12" s="8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78"/>
      <c r="J12" s="78"/>
      <c r="K12" s="78"/>
      <c r="L12" s="78"/>
      <c r="M12" s="78"/>
      <c r="N12" s="78"/>
      <c r="O12" s="78"/>
      <c r="P12" s="78"/>
    </row>
    <row r="13" spans="1:16" x14ac:dyDescent="0.25">
      <c r="C13" s="8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78"/>
      <c r="J13" s="78"/>
      <c r="K13" s="78"/>
      <c r="L13" s="78"/>
      <c r="M13" s="78"/>
      <c r="N13" s="78"/>
      <c r="O13" s="78"/>
      <c r="P13" s="78"/>
    </row>
    <row r="14" spans="1:16" x14ac:dyDescent="0.25">
      <c r="C14" s="8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78"/>
      <c r="J14" s="78"/>
      <c r="K14" s="78"/>
      <c r="L14" s="78"/>
      <c r="M14" s="78"/>
      <c r="N14" s="78"/>
      <c r="O14" s="78"/>
      <c r="P14" s="78"/>
    </row>
    <row r="15" spans="1:16" x14ac:dyDescent="0.25">
      <c r="B15" s="67" t="s">
        <v>85</v>
      </c>
      <c r="C15" s="8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78"/>
      <c r="J15" s="78"/>
      <c r="K15" s="78"/>
      <c r="L15" s="78"/>
      <c r="M15" s="78"/>
      <c r="N15" s="78"/>
      <c r="O15" s="78"/>
      <c r="P15" s="78"/>
    </row>
    <row r="16" spans="1:16" x14ac:dyDescent="0.25">
      <c r="C16" s="8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78"/>
      <c r="J16" s="78"/>
      <c r="K16" s="78"/>
      <c r="L16" s="78"/>
      <c r="M16" s="78"/>
      <c r="N16" s="78"/>
      <c r="O16" s="78"/>
      <c r="P16" s="78"/>
    </row>
    <row r="17" spans="1:16" x14ac:dyDescent="0.25">
      <c r="C17" s="8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78"/>
      <c r="J17" s="78"/>
      <c r="K17" s="78"/>
      <c r="L17" s="78"/>
      <c r="M17" s="78"/>
      <c r="N17" s="78"/>
      <c r="O17" s="78"/>
      <c r="P17" s="78"/>
    </row>
    <row r="18" spans="1:16" ht="14" customHeight="1" x14ac:dyDescent="0.25">
      <c r="C18" s="8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78"/>
      <c r="J18" s="78"/>
      <c r="K18" s="78"/>
      <c r="L18" s="78"/>
      <c r="M18" s="78"/>
      <c r="N18" s="78"/>
      <c r="O18" s="78"/>
      <c r="P18" s="78"/>
    </row>
    <row r="19" spans="1:16" x14ac:dyDescent="0.25">
      <c r="B19" s="67" t="s">
        <v>83</v>
      </c>
      <c r="C19" s="8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78"/>
      <c r="J19" s="78"/>
      <c r="K19" s="78"/>
      <c r="L19" s="78"/>
      <c r="M19" s="78"/>
      <c r="N19" s="78"/>
      <c r="O19" s="78"/>
      <c r="P19" s="78"/>
    </row>
    <row r="20" spans="1:16" x14ac:dyDescent="0.25">
      <c r="C20" s="8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78"/>
      <c r="J20" s="78"/>
      <c r="K20" s="78"/>
      <c r="L20" s="78"/>
      <c r="M20" s="78"/>
      <c r="N20" s="78"/>
      <c r="O20" s="78"/>
      <c r="P20" s="78"/>
    </row>
    <row r="21" spans="1:16" x14ac:dyDescent="0.25">
      <c r="C21" s="8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78"/>
      <c r="J21" s="78"/>
      <c r="K21" s="78"/>
      <c r="L21" s="78"/>
      <c r="M21" s="78"/>
      <c r="N21" s="78"/>
      <c r="O21" s="78"/>
      <c r="P21" s="78"/>
    </row>
    <row r="22" spans="1:16" x14ac:dyDescent="0.25">
      <c r="C22" s="8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78"/>
      <c r="J22" s="78"/>
      <c r="K22" s="78"/>
      <c r="L22" s="78"/>
      <c r="M22" s="78"/>
      <c r="N22" s="78"/>
      <c r="O22" s="78"/>
      <c r="P22" s="78"/>
    </row>
    <row r="23" spans="1:16" x14ac:dyDescent="0.25">
      <c r="B23" s="67" t="s">
        <v>89</v>
      </c>
      <c r="C23" s="8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78"/>
      <c r="J23" s="78"/>
      <c r="K23" s="78"/>
      <c r="L23" s="78"/>
      <c r="M23" s="78"/>
      <c r="N23" s="78"/>
      <c r="O23" s="78"/>
      <c r="P23" s="78"/>
    </row>
    <row r="24" spans="1:16" x14ac:dyDescent="0.25">
      <c r="C24" s="8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78"/>
      <c r="J24" s="78"/>
      <c r="K24" s="78"/>
      <c r="L24" s="78"/>
      <c r="M24" s="78"/>
      <c r="N24" s="78"/>
      <c r="O24" s="78"/>
      <c r="P24" s="78"/>
    </row>
    <row r="25" spans="1:16" x14ac:dyDescent="0.25">
      <c r="C25" s="8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78"/>
      <c r="J25" s="78"/>
      <c r="K25" s="78"/>
      <c r="L25" s="78"/>
      <c r="M25" s="78"/>
      <c r="N25" s="78"/>
      <c r="O25" s="78"/>
      <c r="P25" s="78"/>
    </row>
    <row r="26" spans="1:16" x14ac:dyDescent="0.25">
      <c r="C26" s="8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78"/>
      <c r="J26" s="78"/>
      <c r="K26" s="78"/>
      <c r="L26" s="78"/>
      <c r="M26" s="78"/>
      <c r="N26" s="78"/>
      <c r="O26" s="78"/>
      <c r="P26" s="78"/>
    </row>
    <row r="28" spans="1:16" s="70" customFormat="1" ht="13" customHeight="1" x14ac:dyDescent="0.3">
      <c r="A28" s="60" t="s">
        <v>271</v>
      </c>
    </row>
    <row r="29" spans="1:16" ht="13" customHeight="1" x14ac:dyDescent="0.3">
      <c r="A29" s="78" t="s">
        <v>272</v>
      </c>
      <c r="B29" s="57" t="s">
        <v>265</v>
      </c>
      <c r="C29" s="57" t="s">
        <v>273</v>
      </c>
      <c r="D29" s="62" t="s">
        <v>67</v>
      </c>
      <c r="E29" s="62" t="s">
        <v>77</v>
      </c>
      <c r="F29" s="62" t="s">
        <v>78</v>
      </c>
      <c r="G29" s="62" t="s">
        <v>79</v>
      </c>
      <c r="H29" s="62" t="s">
        <v>80</v>
      </c>
      <c r="I29" s="77"/>
      <c r="J29" s="77"/>
      <c r="K29" s="77"/>
      <c r="L29" s="77"/>
      <c r="M29" s="77"/>
      <c r="N29" s="77"/>
      <c r="O29" s="77"/>
      <c r="P29" s="77"/>
    </row>
    <row r="30" spans="1:16" ht="13" customHeight="1" x14ac:dyDescent="0.3">
      <c r="A30" s="57"/>
      <c r="B30" s="67" t="s">
        <v>81</v>
      </c>
      <c r="C30" s="8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79"/>
      <c r="J30" s="78"/>
      <c r="K30" s="78"/>
      <c r="L30" s="78"/>
      <c r="M30" s="78"/>
      <c r="N30" s="78"/>
      <c r="O30" s="78"/>
      <c r="P30" s="78"/>
    </row>
    <row r="31" spans="1:16" x14ac:dyDescent="0.25">
      <c r="C31" s="8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78"/>
      <c r="J31" s="78"/>
      <c r="K31" s="78"/>
      <c r="L31" s="78"/>
      <c r="M31" s="78"/>
      <c r="N31" s="78"/>
      <c r="O31" s="78"/>
      <c r="P31" s="78"/>
    </row>
    <row r="32" spans="1:16" x14ac:dyDescent="0.25">
      <c r="C32" s="8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78"/>
      <c r="J32" s="78"/>
      <c r="K32" s="78"/>
      <c r="L32" s="78"/>
      <c r="M32" s="78"/>
      <c r="N32" s="78"/>
      <c r="O32" s="78"/>
      <c r="P32" s="78"/>
    </row>
    <row r="33" spans="2:16" x14ac:dyDescent="0.25">
      <c r="C33" s="83" t="s">
        <v>274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78"/>
      <c r="J33" s="78"/>
      <c r="K33" s="78"/>
      <c r="L33" s="78"/>
      <c r="M33" s="78"/>
      <c r="N33" s="78"/>
      <c r="O33" s="78"/>
      <c r="P33" s="78"/>
    </row>
    <row r="34" spans="2:16" x14ac:dyDescent="0.25">
      <c r="B34" s="67" t="s">
        <v>82</v>
      </c>
      <c r="C34" s="8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78"/>
      <c r="J34" s="78"/>
      <c r="K34" s="78"/>
      <c r="L34" s="78"/>
      <c r="M34" s="78"/>
      <c r="N34" s="78"/>
      <c r="O34" s="78"/>
      <c r="P34" s="78"/>
    </row>
    <row r="35" spans="2:16" x14ac:dyDescent="0.25">
      <c r="C35" s="8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78"/>
      <c r="J35" s="78"/>
      <c r="K35" s="78"/>
      <c r="L35" s="78"/>
      <c r="M35" s="78"/>
      <c r="N35" s="78"/>
      <c r="O35" s="78"/>
      <c r="P35" s="78"/>
    </row>
    <row r="36" spans="2:16" x14ac:dyDescent="0.25">
      <c r="C36" s="8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78"/>
      <c r="J36" s="78"/>
      <c r="K36" s="78"/>
      <c r="L36" s="78"/>
      <c r="M36" s="78"/>
      <c r="N36" s="78"/>
      <c r="O36" s="78"/>
      <c r="P36" s="78"/>
    </row>
    <row r="37" spans="2:16" x14ac:dyDescent="0.25">
      <c r="C37" s="83" t="s">
        <v>274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78"/>
      <c r="J37" s="78"/>
      <c r="K37" s="78"/>
      <c r="L37" s="78"/>
      <c r="M37" s="78"/>
      <c r="N37" s="78"/>
      <c r="O37" s="78"/>
      <c r="P37" s="78"/>
    </row>
    <row r="38" spans="2:16" x14ac:dyDescent="0.25">
      <c r="B38" s="67" t="s">
        <v>84</v>
      </c>
      <c r="C38" s="8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78"/>
      <c r="J38" s="78"/>
      <c r="K38" s="78"/>
      <c r="L38" s="78"/>
      <c r="M38" s="78"/>
      <c r="N38" s="78"/>
      <c r="O38" s="78"/>
      <c r="P38" s="78"/>
    </row>
    <row r="39" spans="2:16" x14ac:dyDescent="0.25">
      <c r="C39" s="8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78"/>
      <c r="J39" s="78"/>
      <c r="K39" s="78"/>
      <c r="L39" s="78"/>
      <c r="M39" s="78"/>
      <c r="N39" s="78"/>
      <c r="O39" s="78"/>
      <c r="P39" s="78"/>
    </row>
    <row r="40" spans="2:16" x14ac:dyDescent="0.25">
      <c r="C40" s="8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78"/>
      <c r="J40" s="78"/>
      <c r="K40" s="78"/>
      <c r="L40" s="78"/>
      <c r="M40" s="78"/>
      <c r="N40" s="78"/>
      <c r="O40" s="78"/>
      <c r="P40" s="78"/>
    </row>
    <row r="41" spans="2:16" x14ac:dyDescent="0.25">
      <c r="C41" s="83" t="s">
        <v>274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78"/>
      <c r="J41" s="78"/>
      <c r="K41" s="78"/>
      <c r="L41" s="78"/>
      <c r="M41" s="78"/>
      <c r="N41" s="78"/>
      <c r="O41" s="78"/>
      <c r="P41" s="78"/>
    </row>
    <row r="42" spans="2:16" x14ac:dyDescent="0.25">
      <c r="B42" s="67" t="s">
        <v>85</v>
      </c>
      <c r="C42" s="8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78"/>
      <c r="J42" s="78"/>
      <c r="K42" s="78"/>
      <c r="L42" s="78"/>
      <c r="M42" s="78"/>
      <c r="N42" s="78"/>
      <c r="O42" s="78"/>
      <c r="P42" s="78"/>
    </row>
    <row r="43" spans="2:16" x14ac:dyDescent="0.25">
      <c r="C43" s="8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78"/>
      <c r="J43" s="78"/>
      <c r="K43" s="78"/>
      <c r="L43" s="78"/>
      <c r="M43" s="78"/>
      <c r="N43" s="78"/>
      <c r="O43" s="78"/>
      <c r="P43" s="78"/>
    </row>
    <row r="44" spans="2:16" x14ac:dyDescent="0.25">
      <c r="C44" s="8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78"/>
      <c r="J44" s="78"/>
      <c r="K44" s="78"/>
      <c r="L44" s="78"/>
      <c r="M44" s="78"/>
      <c r="N44" s="78"/>
      <c r="O44" s="78"/>
      <c r="P44" s="78"/>
    </row>
    <row r="45" spans="2:16" x14ac:dyDescent="0.25">
      <c r="C45" s="83" t="s">
        <v>274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78"/>
      <c r="J45" s="78"/>
      <c r="K45" s="78"/>
      <c r="L45" s="78"/>
      <c r="M45" s="78"/>
      <c r="N45" s="78"/>
      <c r="O45" s="78"/>
      <c r="P45" s="78"/>
    </row>
    <row r="46" spans="2:16" x14ac:dyDescent="0.25">
      <c r="B46" s="67" t="s">
        <v>83</v>
      </c>
      <c r="C46" s="8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78"/>
      <c r="J46" s="78"/>
      <c r="K46" s="78"/>
      <c r="L46" s="78"/>
      <c r="M46" s="78"/>
      <c r="N46" s="78"/>
      <c r="O46" s="78"/>
      <c r="P46" s="78"/>
    </row>
    <row r="47" spans="2:16" x14ac:dyDescent="0.25">
      <c r="C47" s="8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78"/>
      <c r="J47" s="78"/>
      <c r="K47" s="78"/>
      <c r="L47" s="78"/>
      <c r="M47" s="78"/>
      <c r="N47" s="78"/>
      <c r="O47" s="78"/>
      <c r="P47" s="78"/>
    </row>
    <row r="48" spans="2:16" x14ac:dyDescent="0.25">
      <c r="C48" s="8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78"/>
      <c r="J48" s="78"/>
      <c r="K48" s="78"/>
      <c r="L48" s="78"/>
      <c r="M48" s="78"/>
      <c r="N48" s="78"/>
      <c r="O48" s="78"/>
      <c r="P48" s="78"/>
    </row>
    <row r="49" spans="1:16" x14ac:dyDescent="0.25">
      <c r="C49" s="83" t="s">
        <v>274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78"/>
      <c r="J49" s="78"/>
      <c r="K49" s="78"/>
      <c r="L49" s="78"/>
      <c r="M49" s="78"/>
      <c r="N49" s="78"/>
      <c r="O49" s="78"/>
      <c r="P49" s="78"/>
    </row>
    <row r="50" spans="1:16" x14ac:dyDescent="0.25">
      <c r="B50" s="67" t="s">
        <v>89</v>
      </c>
      <c r="C50" s="8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78"/>
      <c r="J50" s="78"/>
      <c r="K50" s="78"/>
      <c r="L50" s="78"/>
      <c r="M50" s="78"/>
      <c r="N50" s="78"/>
      <c r="O50" s="78"/>
      <c r="P50" s="78"/>
    </row>
    <row r="51" spans="1:16" x14ac:dyDescent="0.25">
      <c r="C51" s="8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78"/>
      <c r="J51" s="78"/>
      <c r="K51" s="78"/>
      <c r="L51" s="78"/>
      <c r="M51" s="78"/>
      <c r="N51" s="78"/>
      <c r="O51" s="78"/>
      <c r="P51" s="78"/>
    </row>
    <row r="52" spans="1:16" x14ac:dyDescent="0.25">
      <c r="C52" s="8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78"/>
      <c r="J52" s="78"/>
      <c r="K52" s="78"/>
      <c r="L52" s="78"/>
      <c r="M52" s="78"/>
      <c r="N52" s="78"/>
      <c r="O52" s="78"/>
      <c r="P52" s="78"/>
    </row>
    <row r="53" spans="1:16" x14ac:dyDescent="0.25">
      <c r="C53" s="83" t="s">
        <v>274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78"/>
      <c r="J53" s="78"/>
      <c r="K53" s="78"/>
      <c r="L53" s="78"/>
      <c r="M53" s="78"/>
      <c r="N53" s="78"/>
      <c r="O53" s="78"/>
      <c r="P53" s="78"/>
    </row>
    <row r="54" spans="1:16" x14ac:dyDescent="0.25">
      <c r="C54" s="83"/>
      <c r="D54" s="83"/>
    </row>
    <row r="55" spans="1:16" s="70" customFormat="1" ht="13" customHeight="1" x14ac:dyDescent="0.3">
      <c r="A55" s="60" t="s">
        <v>275</v>
      </c>
    </row>
    <row r="56" spans="1:16" ht="13" customHeight="1" x14ac:dyDescent="0.3">
      <c r="A56" s="78" t="s">
        <v>111</v>
      </c>
      <c r="B56" s="57" t="s">
        <v>265</v>
      </c>
      <c r="C56" s="80" t="s">
        <v>276</v>
      </c>
      <c r="D56" s="62" t="s">
        <v>112</v>
      </c>
      <c r="E56" s="62" t="s">
        <v>113</v>
      </c>
      <c r="F56" s="62" t="s">
        <v>114</v>
      </c>
      <c r="G56" s="62" t="s">
        <v>115</v>
      </c>
      <c r="H56" s="77"/>
      <c r="M56" s="77"/>
      <c r="N56" s="77"/>
      <c r="O56" s="77"/>
      <c r="P56" s="77"/>
    </row>
    <row r="57" spans="1:16" ht="13" customHeight="1" x14ac:dyDescent="0.3">
      <c r="A57" s="57"/>
      <c r="B57" s="67" t="s">
        <v>91</v>
      </c>
      <c r="C57" s="83" t="s">
        <v>277</v>
      </c>
      <c r="D57" s="89">
        <v>1</v>
      </c>
      <c r="E57" s="89">
        <v>1</v>
      </c>
      <c r="F57" s="89">
        <v>1</v>
      </c>
      <c r="G57" s="89">
        <v>1</v>
      </c>
      <c r="H57" s="78"/>
      <c r="M57" s="78"/>
      <c r="N57" s="78"/>
      <c r="O57" s="78"/>
      <c r="P57" s="78"/>
    </row>
    <row r="58" spans="1:16" x14ac:dyDescent="0.25">
      <c r="C58" s="83" t="s">
        <v>278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78"/>
      <c r="M58" s="78"/>
      <c r="N58" s="78"/>
      <c r="O58" s="78"/>
      <c r="P58" s="78"/>
    </row>
    <row r="59" spans="1:16" x14ac:dyDescent="0.25">
      <c r="B59" s="67" t="s">
        <v>92</v>
      </c>
      <c r="C59" s="83" t="s">
        <v>277</v>
      </c>
      <c r="D59" s="89">
        <v>1</v>
      </c>
      <c r="E59" s="89">
        <v>1</v>
      </c>
      <c r="F59" s="89">
        <v>1</v>
      </c>
      <c r="G59" s="89">
        <v>1</v>
      </c>
      <c r="H59" s="78"/>
      <c r="M59" s="78"/>
      <c r="N59" s="78"/>
      <c r="O59" s="78"/>
      <c r="P59" s="78"/>
    </row>
    <row r="60" spans="1:16" x14ac:dyDescent="0.25">
      <c r="C60" s="83" t="s">
        <v>278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78"/>
      <c r="M60" s="78"/>
      <c r="N60" s="78"/>
      <c r="O60" s="78"/>
      <c r="P60" s="78"/>
    </row>
    <row r="61" spans="1:16" x14ac:dyDescent="0.25">
      <c r="B61" s="67" t="s">
        <v>93</v>
      </c>
      <c r="C61" s="83" t="s">
        <v>277</v>
      </c>
      <c r="D61" s="89">
        <v>1</v>
      </c>
      <c r="E61" s="89">
        <v>1</v>
      </c>
      <c r="F61" s="89">
        <v>1</v>
      </c>
      <c r="G61" s="89">
        <v>1</v>
      </c>
      <c r="H61" s="78"/>
      <c r="M61" s="78"/>
      <c r="N61" s="78"/>
      <c r="O61" s="78"/>
      <c r="P61" s="78"/>
    </row>
    <row r="62" spans="1:16" x14ac:dyDescent="0.25">
      <c r="C62" s="83" t="s">
        <v>278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78"/>
      <c r="M62" s="78"/>
      <c r="N62" s="78"/>
      <c r="O62" s="78"/>
      <c r="P62" s="78"/>
    </row>
    <row r="63" spans="1:16" x14ac:dyDescent="0.25">
      <c r="C63" s="83"/>
      <c r="D63" s="83"/>
    </row>
    <row r="64" spans="1:16" s="70" customFormat="1" ht="13" customHeight="1" x14ac:dyDescent="0.3">
      <c r="A64" s="60" t="s">
        <v>279</v>
      </c>
    </row>
    <row r="65" spans="1:16" ht="26" customHeight="1" x14ac:dyDescent="0.3">
      <c r="A65" s="78" t="s">
        <v>118</v>
      </c>
      <c r="B65" s="57" t="s">
        <v>265</v>
      </c>
      <c r="C65" s="80" t="s">
        <v>280</v>
      </c>
      <c r="D65" s="62" t="s">
        <v>67</v>
      </c>
      <c r="E65" s="62" t="s">
        <v>77</v>
      </c>
      <c r="F65" s="62" t="s">
        <v>78</v>
      </c>
      <c r="G65" s="62" t="s">
        <v>79</v>
      </c>
      <c r="H65" s="81" t="s">
        <v>80</v>
      </c>
      <c r="I65" s="77"/>
      <c r="J65" s="77"/>
      <c r="K65" s="77"/>
      <c r="L65" s="77"/>
      <c r="M65" s="77"/>
      <c r="N65" s="77"/>
      <c r="O65" s="77"/>
      <c r="P65" s="77"/>
    </row>
    <row r="66" spans="1:16" ht="13" customHeight="1" x14ac:dyDescent="0.3">
      <c r="A66" s="82"/>
      <c r="B66" s="67" t="s">
        <v>68</v>
      </c>
      <c r="C66" s="83" t="s">
        <v>119</v>
      </c>
      <c r="D66" s="89">
        <v>1</v>
      </c>
      <c r="E66" s="89">
        <v>1</v>
      </c>
      <c r="F66" s="89">
        <v>1</v>
      </c>
      <c r="G66" s="89">
        <v>1</v>
      </c>
      <c r="H66" s="78">
        <v>1</v>
      </c>
      <c r="I66" s="78"/>
      <c r="J66" s="78"/>
      <c r="K66" s="78"/>
      <c r="L66" s="78"/>
      <c r="M66" s="78"/>
      <c r="N66" s="78"/>
      <c r="O66" s="78"/>
      <c r="P66" s="78"/>
    </row>
    <row r="67" spans="1:16" x14ac:dyDescent="0.25">
      <c r="C67" s="83" t="s">
        <v>120</v>
      </c>
      <c r="D67" s="90">
        <v>1.35</v>
      </c>
      <c r="E67" s="90">
        <v>1</v>
      </c>
      <c r="F67" s="90">
        <v>1</v>
      </c>
      <c r="G67" s="90">
        <v>1</v>
      </c>
      <c r="H67" s="78">
        <v>1</v>
      </c>
      <c r="I67" s="78"/>
      <c r="J67" s="78"/>
      <c r="K67" s="78"/>
      <c r="L67" s="78"/>
      <c r="M67" s="78"/>
      <c r="N67" s="78"/>
      <c r="O67" s="78"/>
      <c r="P67" s="78"/>
    </row>
    <row r="68" spans="1:16" x14ac:dyDescent="0.25">
      <c r="C68" s="83" t="s">
        <v>121</v>
      </c>
      <c r="D68" s="90">
        <v>1.35</v>
      </c>
      <c r="E68" s="90">
        <v>1</v>
      </c>
      <c r="F68" s="90">
        <v>1</v>
      </c>
      <c r="G68" s="90">
        <v>1</v>
      </c>
      <c r="H68" s="78">
        <v>1</v>
      </c>
      <c r="I68" s="78"/>
      <c r="J68" s="78"/>
      <c r="K68" s="78"/>
      <c r="L68" s="78"/>
      <c r="M68" s="78"/>
      <c r="N68" s="78"/>
      <c r="O68" s="78"/>
      <c r="P68" s="78"/>
    </row>
    <row r="69" spans="1:16" x14ac:dyDescent="0.25">
      <c r="C69" s="83" t="s">
        <v>122</v>
      </c>
      <c r="D69" s="90">
        <v>5.4</v>
      </c>
      <c r="E69" s="90">
        <v>1</v>
      </c>
      <c r="F69" s="90">
        <v>1</v>
      </c>
      <c r="G69" s="90">
        <v>1</v>
      </c>
      <c r="H69" s="78">
        <v>1</v>
      </c>
      <c r="I69" s="78"/>
      <c r="J69" s="78"/>
      <c r="K69" s="78"/>
      <c r="L69" s="78"/>
      <c r="M69" s="78"/>
      <c r="N69" s="78"/>
      <c r="O69" s="78"/>
      <c r="P69" s="78"/>
    </row>
    <row r="70" spans="1:16" x14ac:dyDescent="0.25">
      <c r="B70" s="67" t="s">
        <v>69</v>
      </c>
      <c r="C70" s="83" t="s">
        <v>119</v>
      </c>
      <c r="D70" s="89">
        <v>1</v>
      </c>
      <c r="E70" s="89">
        <v>1</v>
      </c>
      <c r="F70" s="89">
        <v>1</v>
      </c>
      <c r="G70" s="89">
        <v>1</v>
      </c>
      <c r="H70" s="78">
        <v>1</v>
      </c>
      <c r="I70" s="78"/>
      <c r="J70" s="78"/>
      <c r="K70" s="78"/>
      <c r="L70" s="78"/>
      <c r="M70" s="78"/>
      <c r="N70" s="78"/>
      <c r="O70" s="78"/>
      <c r="P70" s="78"/>
    </row>
    <row r="71" spans="1:16" x14ac:dyDescent="0.25">
      <c r="C71" s="83" t="s">
        <v>120</v>
      </c>
      <c r="D71" s="90">
        <v>1.35</v>
      </c>
      <c r="E71" s="90">
        <v>1</v>
      </c>
      <c r="F71" s="90">
        <v>1</v>
      </c>
      <c r="G71" s="90">
        <v>1</v>
      </c>
      <c r="H71" s="78">
        <v>1</v>
      </c>
      <c r="I71" s="78"/>
      <c r="J71" s="78"/>
      <c r="K71" s="78"/>
      <c r="L71" s="78"/>
      <c r="M71" s="78"/>
      <c r="N71" s="78"/>
      <c r="O71" s="78"/>
      <c r="P71" s="78"/>
    </row>
    <row r="72" spans="1:16" x14ac:dyDescent="0.25">
      <c r="C72" s="83" t="s">
        <v>121</v>
      </c>
      <c r="D72" s="90">
        <v>1.35</v>
      </c>
      <c r="E72" s="90">
        <v>1</v>
      </c>
      <c r="F72" s="90">
        <v>1</v>
      </c>
      <c r="G72" s="90">
        <v>1</v>
      </c>
      <c r="H72" s="78">
        <v>1</v>
      </c>
      <c r="I72" s="78"/>
      <c r="J72" s="78"/>
      <c r="K72" s="78"/>
      <c r="L72" s="78"/>
      <c r="M72" s="78"/>
      <c r="N72" s="78"/>
      <c r="O72" s="78"/>
      <c r="P72" s="78"/>
    </row>
    <row r="73" spans="1:16" x14ac:dyDescent="0.25">
      <c r="C73" s="83" t="s">
        <v>122</v>
      </c>
      <c r="D73" s="90">
        <v>5.4</v>
      </c>
      <c r="E73" s="90">
        <v>1</v>
      </c>
      <c r="F73" s="90">
        <v>1</v>
      </c>
      <c r="G73" s="90">
        <v>1</v>
      </c>
      <c r="H73" s="78">
        <v>1</v>
      </c>
      <c r="I73" s="78"/>
      <c r="J73" s="78"/>
      <c r="K73" s="78"/>
      <c r="L73" s="78"/>
      <c r="M73" s="78"/>
      <c r="N73" s="78"/>
      <c r="O73" s="78"/>
      <c r="P73" s="78"/>
    </row>
    <row r="74" spans="1:16" x14ac:dyDescent="0.25">
      <c r="B74" s="67" t="s">
        <v>70</v>
      </c>
      <c r="C74" s="83" t="s">
        <v>119</v>
      </c>
      <c r="D74" s="89">
        <v>1</v>
      </c>
      <c r="E74" s="89">
        <v>1</v>
      </c>
      <c r="F74" s="89">
        <v>1</v>
      </c>
      <c r="G74" s="89">
        <v>1</v>
      </c>
      <c r="H74" s="78">
        <v>1</v>
      </c>
      <c r="I74" s="78"/>
      <c r="J74" s="78"/>
      <c r="K74" s="78"/>
      <c r="L74" s="78"/>
      <c r="M74" s="78"/>
      <c r="N74" s="78"/>
      <c r="O74" s="78"/>
      <c r="P74" s="78"/>
    </row>
    <row r="75" spans="1:16" x14ac:dyDescent="0.25">
      <c r="C75" s="83" t="s">
        <v>120</v>
      </c>
      <c r="D75" s="90">
        <v>1.35</v>
      </c>
      <c r="E75" s="90">
        <v>1</v>
      </c>
      <c r="F75" s="90">
        <v>1</v>
      </c>
      <c r="G75" s="90">
        <v>1</v>
      </c>
      <c r="H75" s="78">
        <v>1</v>
      </c>
      <c r="I75" s="78"/>
      <c r="J75" s="78"/>
      <c r="K75" s="78"/>
      <c r="L75" s="78"/>
      <c r="M75" s="78"/>
      <c r="N75" s="78"/>
      <c r="O75" s="78"/>
      <c r="P75" s="78"/>
    </row>
    <row r="76" spans="1:16" x14ac:dyDescent="0.25">
      <c r="C76" s="83" t="s">
        <v>121</v>
      </c>
      <c r="D76" s="90">
        <v>1.35</v>
      </c>
      <c r="E76" s="90">
        <v>1</v>
      </c>
      <c r="F76" s="90">
        <v>1</v>
      </c>
      <c r="G76" s="90">
        <v>1</v>
      </c>
      <c r="H76" s="78">
        <v>1</v>
      </c>
      <c r="I76" s="78"/>
      <c r="J76" s="78"/>
      <c r="K76" s="78"/>
      <c r="L76" s="78"/>
      <c r="M76" s="78"/>
      <c r="N76" s="78"/>
      <c r="O76" s="78"/>
      <c r="P76" s="78"/>
    </row>
    <row r="77" spans="1:16" x14ac:dyDescent="0.25">
      <c r="C77" s="83" t="s">
        <v>122</v>
      </c>
      <c r="D77" s="90">
        <v>5.4</v>
      </c>
      <c r="E77" s="90">
        <v>1</v>
      </c>
      <c r="F77" s="90">
        <v>1</v>
      </c>
      <c r="G77" s="90">
        <v>1</v>
      </c>
      <c r="H77" s="78">
        <v>1</v>
      </c>
      <c r="I77" s="78"/>
      <c r="J77" s="78"/>
      <c r="K77" s="78"/>
      <c r="L77" s="78"/>
      <c r="M77" s="78"/>
      <c r="N77" s="78"/>
      <c r="O77" s="78"/>
      <c r="P77" s="78"/>
    </row>
    <row r="78" spans="1:16" x14ac:dyDescent="0.25">
      <c r="B78" s="67" t="s">
        <v>72</v>
      </c>
      <c r="C78" s="83" t="s">
        <v>119</v>
      </c>
      <c r="D78" s="89">
        <v>1</v>
      </c>
      <c r="E78" s="89">
        <v>1</v>
      </c>
      <c r="F78" s="89">
        <v>1</v>
      </c>
      <c r="G78" s="89">
        <v>1</v>
      </c>
      <c r="H78" s="78">
        <v>1</v>
      </c>
      <c r="I78" s="78"/>
      <c r="J78" s="78"/>
      <c r="K78" s="78"/>
      <c r="L78" s="78"/>
      <c r="M78" s="78"/>
      <c r="N78" s="78"/>
      <c r="O78" s="78"/>
      <c r="P78" s="78"/>
    </row>
    <row r="79" spans="1:16" x14ac:dyDescent="0.25">
      <c r="C79" s="83" t="s">
        <v>120</v>
      </c>
      <c r="D79" s="90">
        <v>1</v>
      </c>
      <c r="E79" s="90">
        <v>1</v>
      </c>
      <c r="F79" s="90">
        <v>1</v>
      </c>
      <c r="G79" s="90">
        <v>1</v>
      </c>
      <c r="H79" s="78">
        <v>1</v>
      </c>
      <c r="I79" s="78"/>
      <c r="J79" s="78"/>
      <c r="K79" s="78"/>
      <c r="L79" s="78"/>
      <c r="M79" s="78"/>
      <c r="N79" s="78"/>
      <c r="O79" s="78"/>
      <c r="P79" s="78"/>
    </row>
    <row r="80" spans="1:16" x14ac:dyDescent="0.25">
      <c r="C80" s="83" t="s">
        <v>121</v>
      </c>
      <c r="D80" s="90">
        <v>1</v>
      </c>
      <c r="E80" s="90">
        <v>1</v>
      </c>
      <c r="F80" s="90">
        <v>1</v>
      </c>
      <c r="G80" s="90">
        <v>1</v>
      </c>
      <c r="H80" s="78">
        <v>1</v>
      </c>
      <c r="I80" s="78"/>
      <c r="J80" s="78"/>
      <c r="K80" s="78"/>
      <c r="L80" s="78"/>
      <c r="M80" s="78"/>
      <c r="N80" s="78"/>
      <c r="O80" s="78"/>
      <c r="P80" s="78"/>
    </row>
    <row r="81" spans="2:16" x14ac:dyDescent="0.25">
      <c r="C81" s="83" t="s">
        <v>122</v>
      </c>
      <c r="D81" s="90">
        <v>1</v>
      </c>
      <c r="E81" s="90">
        <v>1</v>
      </c>
      <c r="F81" s="90">
        <v>1</v>
      </c>
      <c r="G81" s="90">
        <v>1</v>
      </c>
      <c r="H81" s="78">
        <v>1</v>
      </c>
      <c r="I81" s="78"/>
      <c r="J81" s="78"/>
      <c r="K81" s="78"/>
      <c r="L81" s="78"/>
      <c r="M81" s="78"/>
      <c r="N81" s="78"/>
      <c r="O81" s="78"/>
      <c r="P81" s="78"/>
    </row>
    <row r="82" spans="2:16" x14ac:dyDescent="0.25">
      <c r="B82" s="67" t="s">
        <v>81</v>
      </c>
      <c r="C82" s="83" t="s">
        <v>119</v>
      </c>
      <c r="D82" s="89">
        <v>1</v>
      </c>
      <c r="E82" s="89">
        <v>1</v>
      </c>
      <c r="F82" s="89">
        <v>1</v>
      </c>
      <c r="G82" s="89">
        <v>1</v>
      </c>
      <c r="H82" s="78">
        <v>1</v>
      </c>
      <c r="I82" s="78"/>
      <c r="J82" s="78"/>
      <c r="K82" s="78"/>
      <c r="L82" s="78"/>
      <c r="M82" s="78"/>
      <c r="N82" s="78"/>
      <c r="O82" s="78"/>
      <c r="P82" s="78"/>
    </row>
    <row r="83" spans="2:16" x14ac:dyDescent="0.25">
      <c r="C83" s="8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78">
        <v>1</v>
      </c>
      <c r="I83" s="78"/>
      <c r="J83" s="78"/>
      <c r="K83" s="78"/>
      <c r="L83" s="78"/>
      <c r="M83" s="78"/>
      <c r="N83" s="78"/>
      <c r="O83" s="78"/>
      <c r="P83" s="78"/>
    </row>
    <row r="84" spans="2:16" x14ac:dyDescent="0.25">
      <c r="C84" s="83" t="s">
        <v>121</v>
      </c>
      <c r="D84" s="90">
        <v>1</v>
      </c>
      <c r="E84" s="90">
        <v>4.62</v>
      </c>
      <c r="F84" s="90">
        <v>1</v>
      </c>
      <c r="G84" s="90">
        <v>1</v>
      </c>
      <c r="H84" s="78">
        <v>1</v>
      </c>
      <c r="I84" s="78"/>
      <c r="J84" s="78"/>
      <c r="K84" s="78"/>
      <c r="L84" s="78"/>
      <c r="M84" s="78"/>
      <c r="N84" s="78"/>
      <c r="O84" s="78"/>
      <c r="P84" s="78"/>
    </row>
    <row r="85" spans="2:16" x14ac:dyDescent="0.25">
      <c r="C85" s="8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78">
        <v>1</v>
      </c>
      <c r="I85" s="78"/>
      <c r="J85" s="78"/>
      <c r="K85" s="78"/>
      <c r="L85" s="78"/>
      <c r="M85" s="78"/>
      <c r="N85" s="78"/>
      <c r="O85" s="78"/>
      <c r="P85" s="78"/>
    </row>
    <row r="86" spans="2:16" x14ac:dyDescent="0.25">
      <c r="B86" s="67" t="s">
        <v>82</v>
      </c>
      <c r="C86" s="83" t="s">
        <v>119</v>
      </c>
      <c r="D86" s="89">
        <v>1</v>
      </c>
      <c r="E86" s="89">
        <v>1</v>
      </c>
      <c r="F86" s="89">
        <v>1</v>
      </c>
      <c r="G86" s="89">
        <v>1</v>
      </c>
      <c r="H86" s="78">
        <v>1</v>
      </c>
      <c r="I86" s="78"/>
      <c r="J86" s="78"/>
      <c r="K86" s="78"/>
      <c r="L86" s="78"/>
      <c r="M86" s="78"/>
      <c r="N86" s="78"/>
      <c r="O86" s="78"/>
      <c r="P86" s="78"/>
    </row>
    <row r="87" spans="2:16" x14ac:dyDescent="0.25">
      <c r="C87" s="83" t="s">
        <v>120</v>
      </c>
      <c r="D87" s="90">
        <v>1</v>
      </c>
      <c r="E87" s="90">
        <v>1.66</v>
      </c>
      <c r="F87" s="90">
        <v>1</v>
      </c>
      <c r="G87" s="90">
        <v>1</v>
      </c>
      <c r="H87" s="78">
        <v>1</v>
      </c>
      <c r="I87" s="78"/>
      <c r="J87" s="78"/>
      <c r="K87" s="78"/>
      <c r="L87" s="78"/>
      <c r="M87" s="78"/>
      <c r="N87" s="78"/>
      <c r="O87" s="78"/>
      <c r="P87" s="78"/>
    </row>
    <row r="88" spans="2:16" x14ac:dyDescent="0.25">
      <c r="C88" s="83" t="s">
        <v>121</v>
      </c>
      <c r="D88" s="90">
        <v>1</v>
      </c>
      <c r="E88" s="90">
        <v>2.5</v>
      </c>
      <c r="F88" s="90">
        <v>1</v>
      </c>
      <c r="G88" s="90">
        <v>1</v>
      </c>
      <c r="H88" s="78">
        <v>1</v>
      </c>
      <c r="I88" s="78"/>
      <c r="J88" s="78"/>
      <c r="K88" s="78"/>
      <c r="L88" s="78"/>
      <c r="M88" s="78"/>
      <c r="N88" s="78"/>
      <c r="O88" s="78"/>
      <c r="P88" s="78"/>
    </row>
    <row r="89" spans="2:16" x14ac:dyDescent="0.25">
      <c r="C89" s="8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78">
        <v>1</v>
      </c>
      <c r="I89" s="78"/>
      <c r="J89" s="78"/>
      <c r="K89" s="78"/>
      <c r="L89" s="78"/>
      <c r="M89" s="78"/>
      <c r="N89" s="78"/>
      <c r="O89" s="78"/>
      <c r="P89" s="78"/>
    </row>
    <row r="90" spans="2:16" x14ac:dyDescent="0.25">
      <c r="B90" s="67" t="s">
        <v>84</v>
      </c>
      <c r="C90" s="83" t="s">
        <v>119</v>
      </c>
      <c r="D90" s="89">
        <v>1</v>
      </c>
      <c r="E90" s="89">
        <v>1</v>
      </c>
      <c r="F90" s="89">
        <v>1</v>
      </c>
      <c r="G90" s="89">
        <v>1</v>
      </c>
      <c r="H90" s="78">
        <v>1</v>
      </c>
      <c r="I90" s="78"/>
      <c r="J90" s="78"/>
      <c r="K90" s="78"/>
      <c r="L90" s="78"/>
      <c r="M90" s="78"/>
      <c r="N90" s="78"/>
      <c r="O90" s="78"/>
      <c r="P90" s="78"/>
    </row>
    <row r="91" spans="2:16" x14ac:dyDescent="0.25">
      <c r="C91" s="83" t="s">
        <v>120</v>
      </c>
      <c r="D91" s="90">
        <v>1</v>
      </c>
      <c r="E91" s="90">
        <v>1.48</v>
      </c>
      <c r="F91" s="90">
        <v>1</v>
      </c>
      <c r="G91" s="90">
        <v>1</v>
      </c>
      <c r="H91" s="78">
        <v>1</v>
      </c>
      <c r="I91" s="78"/>
      <c r="J91" s="78"/>
      <c r="K91" s="78"/>
      <c r="L91" s="78"/>
      <c r="M91" s="78"/>
      <c r="N91" s="78"/>
      <c r="O91" s="78"/>
      <c r="P91" s="78"/>
    </row>
    <row r="92" spans="2:16" x14ac:dyDescent="0.25">
      <c r="C92" s="83" t="s">
        <v>121</v>
      </c>
      <c r="D92" s="90">
        <v>1</v>
      </c>
      <c r="E92" s="90">
        <v>2.84</v>
      </c>
      <c r="F92" s="90">
        <v>1</v>
      </c>
      <c r="G92" s="90">
        <v>1</v>
      </c>
      <c r="H92" s="78">
        <v>1</v>
      </c>
      <c r="I92" s="78"/>
      <c r="J92" s="78"/>
      <c r="K92" s="78"/>
      <c r="L92" s="78"/>
      <c r="M92" s="78"/>
      <c r="N92" s="78"/>
      <c r="O92" s="78"/>
      <c r="P92" s="78"/>
    </row>
    <row r="93" spans="2:16" x14ac:dyDescent="0.25">
      <c r="C93" s="8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78">
        <v>1</v>
      </c>
      <c r="I93" s="78"/>
      <c r="J93" s="78"/>
      <c r="K93" s="78"/>
      <c r="L93" s="78"/>
      <c r="M93" s="78"/>
      <c r="N93" s="78"/>
      <c r="O93" s="78"/>
      <c r="P93" s="78"/>
    </row>
    <row r="94" spans="2:16" x14ac:dyDescent="0.25">
      <c r="B94" s="67" t="s">
        <v>83</v>
      </c>
      <c r="C94" s="83" t="s">
        <v>119</v>
      </c>
      <c r="D94" s="89">
        <v>1</v>
      </c>
      <c r="E94" s="89">
        <v>1</v>
      </c>
      <c r="F94" s="89">
        <v>1</v>
      </c>
      <c r="G94" s="89">
        <v>1</v>
      </c>
      <c r="H94" s="78">
        <v>1</v>
      </c>
      <c r="I94" s="78"/>
      <c r="J94" s="78"/>
      <c r="K94" s="78"/>
      <c r="L94" s="78"/>
      <c r="M94" s="78"/>
      <c r="N94" s="78"/>
      <c r="O94" s="78"/>
      <c r="P94" s="78"/>
    </row>
    <row r="95" spans="2:16" x14ac:dyDescent="0.25">
      <c r="C95" s="83" t="s">
        <v>120</v>
      </c>
      <c r="D95" s="90">
        <v>1</v>
      </c>
      <c r="E95" s="90">
        <v>1.48</v>
      </c>
      <c r="F95" s="90">
        <v>1</v>
      </c>
      <c r="G95" s="90">
        <v>1</v>
      </c>
      <c r="H95" s="78">
        <v>1</v>
      </c>
      <c r="I95" s="78"/>
      <c r="J95" s="78"/>
      <c r="K95" s="78"/>
      <c r="L95" s="78"/>
      <c r="M95" s="78"/>
      <c r="N95" s="78"/>
      <c r="O95" s="78"/>
      <c r="P95" s="78"/>
    </row>
    <row r="96" spans="2:16" x14ac:dyDescent="0.25">
      <c r="C96" s="83" t="s">
        <v>121</v>
      </c>
      <c r="D96" s="90">
        <v>1</v>
      </c>
      <c r="E96" s="90">
        <v>2.84</v>
      </c>
      <c r="F96" s="90">
        <v>1</v>
      </c>
      <c r="G96" s="90">
        <v>1</v>
      </c>
      <c r="H96" s="78">
        <v>1</v>
      </c>
      <c r="I96" s="78"/>
      <c r="J96" s="78"/>
      <c r="K96" s="78"/>
      <c r="L96" s="78"/>
      <c r="M96" s="78"/>
      <c r="N96" s="78"/>
      <c r="O96" s="78"/>
      <c r="P96" s="78"/>
    </row>
    <row r="97" spans="1:16" x14ac:dyDescent="0.25">
      <c r="C97" s="8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78">
        <v>1</v>
      </c>
      <c r="I97" s="78"/>
      <c r="J97" s="78"/>
      <c r="K97" s="78"/>
      <c r="L97" s="78"/>
      <c r="M97" s="78"/>
      <c r="N97" s="78"/>
      <c r="O97" s="78"/>
      <c r="P97" s="78"/>
    </row>
    <row r="98" spans="1:16" x14ac:dyDescent="0.25">
      <c r="B98" s="67" t="s">
        <v>86</v>
      </c>
      <c r="C98" s="83" t="s">
        <v>119</v>
      </c>
      <c r="D98" s="89">
        <v>1</v>
      </c>
      <c r="E98" s="89">
        <v>1</v>
      </c>
      <c r="F98" s="89">
        <v>1</v>
      </c>
      <c r="G98" s="89">
        <v>1</v>
      </c>
      <c r="H98" s="78">
        <v>1</v>
      </c>
      <c r="I98" s="78"/>
      <c r="J98" s="78"/>
      <c r="K98" s="78"/>
      <c r="L98" s="78"/>
      <c r="M98" s="78"/>
      <c r="N98" s="78"/>
      <c r="O98" s="78"/>
      <c r="P98" s="78"/>
    </row>
    <row r="99" spans="1:16" x14ac:dyDescent="0.25">
      <c r="C99" s="83" t="s">
        <v>120</v>
      </c>
      <c r="D99" s="90">
        <v>1</v>
      </c>
      <c r="E99" s="90">
        <v>1.48</v>
      </c>
      <c r="F99" s="90">
        <v>1</v>
      </c>
      <c r="G99" s="90">
        <v>1</v>
      </c>
      <c r="H99" s="78">
        <v>1</v>
      </c>
      <c r="I99" s="78"/>
      <c r="J99" s="78"/>
      <c r="K99" s="78"/>
      <c r="L99" s="78"/>
      <c r="M99" s="78"/>
      <c r="N99" s="78"/>
      <c r="O99" s="78"/>
      <c r="P99" s="78"/>
    </row>
    <row r="100" spans="1:16" x14ac:dyDescent="0.25">
      <c r="C100" s="8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78">
        <v>1</v>
      </c>
      <c r="I100" s="78"/>
      <c r="J100" s="78"/>
      <c r="K100" s="78"/>
      <c r="L100" s="78"/>
      <c r="M100" s="78"/>
      <c r="N100" s="78"/>
      <c r="O100" s="78"/>
      <c r="P100" s="78"/>
    </row>
    <row r="101" spans="1:16" x14ac:dyDescent="0.25">
      <c r="C101" s="8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78">
        <v>1</v>
      </c>
      <c r="I101" s="78"/>
      <c r="J101" s="78"/>
      <c r="K101" s="78"/>
      <c r="L101" s="78"/>
      <c r="M101" s="78"/>
      <c r="N101" s="78"/>
      <c r="O101" s="78"/>
      <c r="P101" s="78"/>
    </row>
    <row r="103" spans="1:16" s="70" customFormat="1" ht="13" customHeight="1" x14ac:dyDescent="0.3">
      <c r="A103" s="60" t="s">
        <v>281</v>
      </c>
    </row>
    <row r="104" spans="1:16" ht="26" customHeight="1" x14ac:dyDescent="0.3">
      <c r="A104" s="78" t="s">
        <v>81</v>
      </c>
      <c r="B104" s="82" t="s">
        <v>122</v>
      </c>
      <c r="C104" s="80" t="s">
        <v>280</v>
      </c>
      <c r="D104" s="62" t="s">
        <v>67</v>
      </c>
      <c r="E104" s="62" t="s">
        <v>77</v>
      </c>
      <c r="F104" s="62" t="s">
        <v>78</v>
      </c>
      <c r="G104" s="62" t="s">
        <v>79</v>
      </c>
      <c r="H104" s="81" t="s">
        <v>80</v>
      </c>
      <c r="I104" s="77"/>
      <c r="J104" s="77"/>
      <c r="K104" s="77"/>
      <c r="L104" s="77"/>
      <c r="M104" s="77"/>
      <c r="N104" s="77"/>
      <c r="O104" s="77"/>
      <c r="P104" s="77"/>
    </row>
    <row r="105" spans="1:16" ht="13" customHeight="1" x14ac:dyDescent="0.3">
      <c r="A105" s="57"/>
      <c r="C105" s="83" t="s">
        <v>119</v>
      </c>
      <c r="D105" s="89">
        <v>1</v>
      </c>
      <c r="E105" s="89">
        <v>1</v>
      </c>
      <c r="F105" s="89">
        <v>1</v>
      </c>
      <c r="G105" s="89">
        <v>1</v>
      </c>
      <c r="H105" s="78">
        <v>1</v>
      </c>
      <c r="I105" s="78"/>
      <c r="J105" s="78"/>
      <c r="K105" s="78"/>
      <c r="L105" s="78"/>
      <c r="M105" s="78"/>
      <c r="N105" s="78"/>
      <c r="O105" s="78"/>
      <c r="P105" s="78"/>
    </row>
    <row r="106" spans="1:16" x14ac:dyDescent="0.25">
      <c r="C106" s="8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78">
        <v>1</v>
      </c>
      <c r="I106" s="78"/>
      <c r="J106" s="78"/>
      <c r="K106" s="78"/>
      <c r="L106" s="78"/>
      <c r="M106" s="78"/>
      <c r="N106" s="78"/>
      <c r="O106" s="78"/>
      <c r="P106" s="78"/>
    </row>
    <row r="107" spans="1:16" x14ac:dyDescent="0.25">
      <c r="C107" s="8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78">
        <v>1</v>
      </c>
      <c r="I107" s="78"/>
      <c r="J107" s="78"/>
      <c r="K107" s="78"/>
      <c r="L107" s="78"/>
      <c r="M107" s="78"/>
      <c r="N107" s="78"/>
      <c r="O107" s="78"/>
      <c r="P107" s="78"/>
    </row>
    <row r="108" spans="1:16" x14ac:dyDescent="0.25">
      <c r="C108" s="8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78">
        <v>1</v>
      </c>
      <c r="I108" s="78"/>
      <c r="J108" s="78"/>
      <c r="K108" s="78"/>
      <c r="L108" s="78"/>
      <c r="M108" s="78"/>
      <c r="N108" s="78"/>
      <c r="O108" s="78"/>
      <c r="P108" s="78"/>
    </row>
    <row r="110" spans="1:16" s="92" customFormat="1" ht="13" customHeight="1" x14ac:dyDescent="0.3">
      <c r="A110" s="91" t="s">
        <v>235</v>
      </c>
      <c r="H110" s="91"/>
    </row>
    <row r="111" spans="1:16" ht="13" customHeight="1" x14ac:dyDescent="0.3">
      <c r="A111" s="60" t="s">
        <v>264</v>
      </c>
      <c r="B111" s="70"/>
      <c r="C111" s="70"/>
      <c r="D111" s="70"/>
      <c r="E111" s="70"/>
      <c r="F111" s="70"/>
      <c r="G111" s="70"/>
      <c r="H111" s="70"/>
    </row>
    <row r="112" spans="1:16" ht="13" customHeight="1" x14ac:dyDescent="0.3">
      <c r="A112" s="78" t="s">
        <v>225</v>
      </c>
      <c r="B112" s="76" t="s">
        <v>265</v>
      </c>
      <c r="C112" s="76" t="s">
        <v>266</v>
      </c>
      <c r="D112" s="62" t="s">
        <v>67</v>
      </c>
      <c r="E112" s="62" t="s">
        <v>77</v>
      </c>
      <c r="F112" s="62" t="s">
        <v>78</v>
      </c>
      <c r="G112" s="62" t="s">
        <v>79</v>
      </c>
      <c r="H112" s="62" t="s">
        <v>80</v>
      </c>
    </row>
    <row r="113" spans="1:8" ht="13" customHeight="1" x14ac:dyDescent="0.3">
      <c r="A113" s="57"/>
      <c r="B113" s="67" t="s">
        <v>81</v>
      </c>
      <c r="C113" s="83" t="s">
        <v>267</v>
      </c>
      <c r="D113" s="119">
        <f t="shared" ref="D113:H122" si="0">D3*0.8</f>
        <v>0.8</v>
      </c>
      <c r="E113" s="119">
        <f t="shared" si="0"/>
        <v>0.8</v>
      </c>
      <c r="F113" s="119">
        <f t="shared" si="0"/>
        <v>0.8</v>
      </c>
      <c r="G113" s="119">
        <f t="shared" si="0"/>
        <v>0.8</v>
      </c>
      <c r="H113" s="119">
        <f t="shared" si="0"/>
        <v>0.8</v>
      </c>
    </row>
    <row r="114" spans="1:8" x14ac:dyDescent="0.25">
      <c r="C114" s="83" t="s">
        <v>268</v>
      </c>
      <c r="D114" s="119">
        <f t="shared" si="0"/>
        <v>0.8</v>
      </c>
      <c r="E114" s="119">
        <f t="shared" si="0"/>
        <v>1.3360000000000001</v>
      </c>
      <c r="F114" s="119">
        <f t="shared" si="0"/>
        <v>1.3360000000000001</v>
      </c>
      <c r="G114" s="119">
        <f t="shared" si="0"/>
        <v>1.3360000000000001</v>
      </c>
      <c r="H114" s="119">
        <f t="shared" si="0"/>
        <v>1.3360000000000001</v>
      </c>
    </row>
    <row r="115" spans="1:8" x14ac:dyDescent="0.25">
      <c r="C115" s="83" t="s">
        <v>269</v>
      </c>
      <c r="D115" s="119">
        <f t="shared" si="0"/>
        <v>0.8</v>
      </c>
      <c r="E115" s="119">
        <f t="shared" si="0"/>
        <v>1.9039999999999999</v>
      </c>
      <c r="F115" s="119">
        <f t="shared" si="0"/>
        <v>1.9039999999999999</v>
      </c>
      <c r="G115" s="119">
        <f t="shared" si="0"/>
        <v>1.9039999999999999</v>
      </c>
      <c r="H115" s="119">
        <f t="shared" si="0"/>
        <v>1.9039999999999999</v>
      </c>
    </row>
    <row r="116" spans="1:8" x14ac:dyDescent="0.25">
      <c r="C116" s="83" t="s">
        <v>270</v>
      </c>
      <c r="D116" s="119">
        <f t="shared" si="0"/>
        <v>0.8</v>
      </c>
      <c r="E116" s="119">
        <f t="shared" si="0"/>
        <v>5.0640000000000001</v>
      </c>
      <c r="F116" s="119">
        <f t="shared" si="0"/>
        <v>5.0640000000000001</v>
      </c>
      <c r="G116" s="119">
        <f t="shared" si="0"/>
        <v>5.0640000000000001</v>
      </c>
      <c r="H116" s="119">
        <f t="shared" si="0"/>
        <v>5.0640000000000001</v>
      </c>
    </row>
    <row r="117" spans="1:8" x14ac:dyDescent="0.25">
      <c r="B117" s="67" t="s">
        <v>82</v>
      </c>
      <c r="C117" s="83" t="s">
        <v>267</v>
      </c>
      <c r="D117" s="119">
        <f t="shared" si="0"/>
        <v>0.8</v>
      </c>
      <c r="E117" s="119">
        <f t="shared" si="0"/>
        <v>0.8</v>
      </c>
      <c r="F117" s="119">
        <f t="shared" si="0"/>
        <v>0.8</v>
      </c>
      <c r="G117" s="119">
        <f t="shared" si="0"/>
        <v>0.8</v>
      </c>
      <c r="H117" s="119">
        <f t="shared" si="0"/>
        <v>0.8</v>
      </c>
    </row>
    <row r="118" spans="1:8" x14ac:dyDescent="0.25">
      <c r="C118" s="83" t="s">
        <v>268</v>
      </c>
      <c r="D118" s="119">
        <f t="shared" si="0"/>
        <v>0.8</v>
      </c>
      <c r="E118" s="119">
        <f t="shared" si="0"/>
        <v>1.2400000000000002</v>
      </c>
      <c r="F118" s="119">
        <f t="shared" si="0"/>
        <v>1.2400000000000002</v>
      </c>
      <c r="G118" s="119">
        <f t="shared" si="0"/>
        <v>1.2400000000000002</v>
      </c>
      <c r="H118" s="119">
        <f t="shared" si="0"/>
        <v>1.2400000000000002</v>
      </c>
    </row>
    <row r="119" spans="1:8" x14ac:dyDescent="0.25">
      <c r="C119" s="83" t="s">
        <v>269</v>
      </c>
      <c r="D119" s="119">
        <f t="shared" si="0"/>
        <v>0.8</v>
      </c>
      <c r="E119" s="119">
        <f t="shared" si="0"/>
        <v>1.7440000000000002</v>
      </c>
      <c r="F119" s="119">
        <f t="shared" si="0"/>
        <v>1.7440000000000002</v>
      </c>
      <c r="G119" s="119">
        <f t="shared" si="0"/>
        <v>1.7440000000000002</v>
      </c>
      <c r="H119" s="119">
        <f t="shared" si="0"/>
        <v>1.7440000000000002</v>
      </c>
    </row>
    <row r="120" spans="1:8" x14ac:dyDescent="0.25">
      <c r="C120" s="83" t="s">
        <v>270</v>
      </c>
      <c r="D120" s="119">
        <f t="shared" si="0"/>
        <v>0.8</v>
      </c>
      <c r="E120" s="119">
        <f t="shared" si="0"/>
        <v>5.1120000000000001</v>
      </c>
      <c r="F120" s="119">
        <f t="shared" si="0"/>
        <v>5.1120000000000001</v>
      </c>
      <c r="G120" s="119">
        <f t="shared" si="0"/>
        <v>5.1120000000000001</v>
      </c>
      <c r="H120" s="119">
        <f t="shared" si="0"/>
        <v>5.1120000000000001</v>
      </c>
    </row>
    <row r="121" spans="1:8" x14ac:dyDescent="0.25">
      <c r="B121" s="67" t="s">
        <v>84</v>
      </c>
      <c r="C121" s="83" t="s">
        <v>267</v>
      </c>
      <c r="D121" s="119">
        <f t="shared" si="0"/>
        <v>0.8</v>
      </c>
      <c r="E121" s="119">
        <f t="shared" si="0"/>
        <v>0.8</v>
      </c>
      <c r="F121" s="119">
        <f t="shared" si="0"/>
        <v>0.8</v>
      </c>
      <c r="G121" s="119">
        <f t="shared" si="0"/>
        <v>0.8</v>
      </c>
      <c r="H121" s="119">
        <f t="shared" si="0"/>
        <v>0.8</v>
      </c>
    </row>
    <row r="122" spans="1:8" x14ac:dyDescent="0.25">
      <c r="C122" s="83" t="s">
        <v>268</v>
      </c>
      <c r="D122" s="119">
        <f t="shared" si="0"/>
        <v>0.8</v>
      </c>
      <c r="E122" s="119">
        <f t="shared" si="0"/>
        <v>0.8</v>
      </c>
      <c r="F122" s="119">
        <f t="shared" si="0"/>
        <v>0.8</v>
      </c>
      <c r="G122" s="119">
        <f t="shared" si="0"/>
        <v>0.8</v>
      </c>
      <c r="H122" s="119">
        <f t="shared" si="0"/>
        <v>0.8</v>
      </c>
    </row>
    <row r="123" spans="1:8" x14ac:dyDescent="0.25">
      <c r="C123" s="83" t="s">
        <v>269</v>
      </c>
      <c r="D123" s="119">
        <f t="shared" ref="D123:H132" si="1">D13*0.8</f>
        <v>0.8</v>
      </c>
      <c r="E123" s="119">
        <f t="shared" si="1"/>
        <v>2.2320000000000002</v>
      </c>
      <c r="F123" s="119">
        <f t="shared" si="1"/>
        <v>2.2320000000000002</v>
      </c>
      <c r="G123" s="119">
        <f t="shared" si="1"/>
        <v>2.2320000000000002</v>
      </c>
      <c r="H123" s="119">
        <f t="shared" si="1"/>
        <v>2.2320000000000002</v>
      </c>
    </row>
    <row r="124" spans="1:8" x14ac:dyDescent="0.25">
      <c r="C124" s="83" t="s">
        <v>270</v>
      </c>
      <c r="D124" s="119">
        <f t="shared" si="1"/>
        <v>0.8</v>
      </c>
      <c r="E124" s="119">
        <f t="shared" si="1"/>
        <v>4.8079999999999998</v>
      </c>
      <c r="F124" s="119">
        <f t="shared" si="1"/>
        <v>4.8079999999999998</v>
      </c>
      <c r="G124" s="119">
        <f t="shared" si="1"/>
        <v>4.8079999999999998</v>
      </c>
      <c r="H124" s="119">
        <f t="shared" si="1"/>
        <v>4.8079999999999998</v>
      </c>
    </row>
    <row r="125" spans="1:8" x14ac:dyDescent="0.25">
      <c r="B125" s="67" t="s">
        <v>85</v>
      </c>
      <c r="C125" s="83" t="s">
        <v>267</v>
      </c>
      <c r="D125" s="119">
        <f t="shared" si="1"/>
        <v>0.8</v>
      </c>
      <c r="E125" s="119">
        <f t="shared" si="1"/>
        <v>0.8</v>
      </c>
      <c r="F125" s="119">
        <f t="shared" si="1"/>
        <v>0.8</v>
      </c>
      <c r="G125" s="119">
        <f t="shared" si="1"/>
        <v>0.8</v>
      </c>
      <c r="H125" s="119">
        <f t="shared" si="1"/>
        <v>0.8</v>
      </c>
    </row>
    <row r="126" spans="1:8" x14ac:dyDescent="0.25">
      <c r="C126" s="83" t="s">
        <v>268</v>
      </c>
      <c r="D126" s="119">
        <f t="shared" si="1"/>
        <v>0.8</v>
      </c>
      <c r="E126" s="119">
        <f t="shared" si="1"/>
        <v>0.8</v>
      </c>
      <c r="F126" s="119">
        <f t="shared" si="1"/>
        <v>0.8</v>
      </c>
      <c r="G126" s="119">
        <f t="shared" si="1"/>
        <v>0.8</v>
      </c>
      <c r="H126" s="119">
        <f t="shared" si="1"/>
        <v>0.8</v>
      </c>
    </row>
    <row r="127" spans="1:8" x14ac:dyDescent="0.25">
      <c r="C127" s="83" t="s">
        <v>269</v>
      </c>
      <c r="D127" s="119">
        <f t="shared" si="1"/>
        <v>0.8</v>
      </c>
      <c r="E127" s="119">
        <f t="shared" si="1"/>
        <v>0.8</v>
      </c>
      <c r="F127" s="119">
        <f t="shared" si="1"/>
        <v>0.8</v>
      </c>
      <c r="G127" s="119">
        <f t="shared" si="1"/>
        <v>0.8</v>
      </c>
      <c r="H127" s="119">
        <f t="shared" si="1"/>
        <v>0.8</v>
      </c>
    </row>
    <row r="128" spans="1:8" x14ac:dyDescent="0.25">
      <c r="C128" s="83" t="s">
        <v>270</v>
      </c>
      <c r="D128" s="119">
        <f t="shared" si="1"/>
        <v>0.8</v>
      </c>
      <c r="E128" s="119">
        <f t="shared" si="1"/>
        <v>0.8</v>
      </c>
      <c r="F128" s="119">
        <f t="shared" si="1"/>
        <v>0.8</v>
      </c>
      <c r="G128" s="119">
        <f t="shared" si="1"/>
        <v>0.8</v>
      </c>
      <c r="H128" s="119">
        <f t="shared" si="1"/>
        <v>0.8</v>
      </c>
    </row>
    <row r="129" spans="1:8" x14ac:dyDescent="0.25">
      <c r="B129" s="67" t="s">
        <v>83</v>
      </c>
      <c r="C129" s="83" t="s">
        <v>267</v>
      </c>
      <c r="D129" s="119">
        <f t="shared" si="1"/>
        <v>0.8</v>
      </c>
      <c r="E129" s="119">
        <f t="shared" si="1"/>
        <v>0.8</v>
      </c>
      <c r="F129" s="119">
        <f t="shared" si="1"/>
        <v>0.8</v>
      </c>
      <c r="G129" s="119">
        <f t="shared" si="1"/>
        <v>0.8</v>
      </c>
      <c r="H129" s="119">
        <f t="shared" si="1"/>
        <v>0.8</v>
      </c>
    </row>
    <row r="130" spans="1:8" x14ac:dyDescent="0.25">
      <c r="C130" s="83" t="s">
        <v>268</v>
      </c>
      <c r="D130" s="119">
        <f t="shared" si="1"/>
        <v>0.8</v>
      </c>
      <c r="E130" s="119">
        <f t="shared" si="1"/>
        <v>0.8</v>
      </c>
      <c r="F130" s="119">
        <f t="shared" si="1"/>
        <v>0.8</v>
      </c>
      <c r="G130" s="119">
        <f t="shared" si="1"/>
        <v>0.8</v>
      </c>
      <c r="H130" s="119">
        <f t="shared" si="1"/>
        <v>0.8</v>
      </c>
    </row>
    <row r="131" spans="1:8" x14ac:dyDescent="0.25">
      <c r="C131" s="83" t="s">
        <v>269</v>
      </c>
      <c r="D131" s="119">
        <f t="shared" si="1"/>
        <v>0.8</v>
      </c>
      <c r="E131" s="119">
        <f t="shared" si="1"/>
        <v>1.4880000000000002</v>
      </c>
      <c r="F131" s="119">
        <f t="shared" si="1"/>
        <v>1.4880000000000002</v>
      </c>
      <c r="G131" s="119">
        <f t="shared" si="1"/>
        <v>1.4880000000000002</v>
      </c>
      <c r="H131" s="119">
        <f t="shared" si="1"/>
        <v>1.4880000000000002</v>
      </c>
    </row>
    <row r="132" spans="1:8" x14ac:dyDescent="0.25">
      <c r="C132" s="83" t="s">
        <v>270</v>
      </c>
      <c r="D132" s="119">
        <f t="shared" si="1"/>
        <v>0.8</v>
      </c>
      <c r="E132" s="119">
        <f t="shared" si="1"/>
        <v>2.4079999999999999</v>
      </c>
      <c r="F132" s="119">
        <f t="shared" si="1"/>
        <v>2.4079999999999999</v>
      </c>
      <c r="G132" s="119">
        <f t="shared" si="1"/>
        <v>2.4079999999999999</v>
      </c>
      <c r="H132" s="119">
        <f t="shared" si="1"/>
        <v>2.4079999999999999</v>
      </c>
    </row>
    <row r="133" spans="1:8" x14ac:dyDescent="0.25">
      <c r="B133" s="67" t="s">
        <v>89</v>
      </c>
      <c r="C133" s="83" t="s">
        <v>267</v>
      </c>
      <c r="D133" s="119">
        <f t="shared" ref="D133:H142" si="2">D23*0.8</f>
        <v>0.8</v>
      </c>
      <c r="E133" s="119">
        <f t="shared" si="2"/>
        <v>0.8</v>
      </c>
      <c r="F133" s="119">
        <f t="shared" si="2"/>
        <v>0.8</v>
      </c>
      <c r="G133" s="119">
        <f t="shared" si="2"/>
        <v>0.8</v>
      </c>
      <c r="H133" s="119">
        <f t="shared" si="2"/>
        <v>0.8</v>
      </c>
    </row>
    <row r="134" spans="1:8" x14ac:dyDescent="0.25">
      <c r="C134" s="83" t="s">
        <v>268</v>
      </c>
      <c r="D134" s="119">
        <f t="shared" si="2"/>
        <v>0.8</v>
      </c>
      <c r="E134" s="119">
        <f t="shared" si="2"/>
        <v>0.8</v>
      </c>
      <c r="F134" s="119">
        <f t="shared" si="2"/>
        <v>0.8</v>
      </c>
      <c r="G134" s="119">
        <f t="shared" si="2"/>
        <v>0.8</v>
      </c>
      <c r="H134" s="119">
        <f t="shared" si="2"/>
        <v>0.8</v>
      </c>
    </row>
    <row r="135" spans="1:8" x14ac:dyDescent="0.25">
      <c r="C135" s="83" t="s">
        <v>269</v>
      </c>
      <c r="D135" s="119">
        <f t="shared" si="2"/>
        <v>0.8</v>
      </c>
      <c r="E135" s="119">
        <f t="shared" si="2"/>
        <v>1.4880000000000002</v>
      </c>
      <c r="F135" s="119">
        <f t="shared" si="2"/>
        <v>1.4880000000000002</v>
      </c>
      <c r="G135" s="119">
        <f t="shared" si="2"/>
        <v>1.4880000000000002</v>
      </c>
      <c r="H135" s="119">
        <f t="shared" si="2"/>
        <v>1.4880000000000002</v>
      </c>
    </row>
    <row r="136" spans="1:8" x14ac:dyDescent="0.25">
      <c r="C136" s="83" t="s">
        <v>270</v>
      </c>
      <c r="D136" s="119">
        <f t="shared" si="2"/>
        <v>0.8</v>
      </c>
      <c r="E136" s="119">
        <f t="shared" si="2"/>
        <v>2.4079999999999999</v>
      </c>
      <c r="F136" s="119">
        <f t="shared" si="2"/>
        <v>2.4079999999999999</v>
      </c>
      <c r="G136" s="119">
        <f t="shared" si="2"/>
        <v>2.4079999999999999</v>
      </c>
      <c r="H136" s="119">
        <f t="shared" si="2"/>
        <v>2.4079999999999999</v>
      </c>
    </row>
    <row r="138" spans="1:8" ht="13" customHeight="1" x14ac:dyDescent="0.3">
      <c r="A138" s="60" t="s">
        <v>271</v>
      </c>
      <c r="B138" s="70"/>
      <c r="C138" s="70"/>
      <c r="D138" s="70"/>
      <c r="E138" s="70"/>
      <c r="F138" s="70"/>
      <c r="G138" s="70"/>
      <c r="H138" s="70"/>
    </row>
    <row r="139" spans="1:8" ht="13" customHeight="1" x14ac:dyDescent="0.3">
      <c r="A139" s="78" t="s">
        <v>272</v>
      </c>
      <c r="B139" s="57" t="s">
        <v>265</v>
      </c>
      <c r="C139" s="57" t="s">
        <v>273</v>
      </c>
      <c r="D139" s="62" t="s">
        <v>67</v>
      </c>
      <c r="E139" s="62" t="s">
        <v>77</v>
      </c>
      <c r="F139" s="62" t="s">
        <v>78</v>
      </c>
      <c r="G139" s="62" t="s">
        <v>79</v>
      </c>
      <c r="H139" s="62" t="s">
        <v>80</v>
      </c>
    </row>
    <row r="140" spans="1:8" ht="13" customHeight="1" x14ac:dyDescent="0.3">
      <c r="A140" s="57"/>
      <c r="B140" s="67" t="s">
        <v>81</v>
      </c>
      <c r="C140" s="83" t="s">
        <v>267</v>
      </c>
      <c r="D140" s="119">
        <f t="shared" ref="D140:H149" si="3">D30*0.7</f>
        <v>0.7</v>
      </c>
      <c r="E140" s="119">
        <f t="shared" si="3"/>
        <v>0.7</v>
      </c>
      <c r="F140" s="119">
        <f t="shared" si="3"/>
        <v>0.7</v>
      </c>
      <c r="G140" s="119">
        <f t="shared" si="3"/>
        <v>0.7</v>
      </c>
      <c r="H140" s="119">
        <f t="shared" si="3"/>
        <v>0.7</v>
      </c>
    </row>
    <row r="141" spans="1:8" x14ac:dyDescent="0.25">
      <c r="C141" s="83" t="s">
        <v>268</v>
      </c>
      <c r="D141" s="119">
        <f t="shared" si="3"/>
        <v>0.7</v>
      </c>
      <c r="E141" s="119">
        <f t="shared" si="3"/>
        <v>1.1199999999999999</v>
      </c>
      <c r="F141" s="119">
        <f t="shared" si="3"/>
        <v>1.1199999999999999</v>
      </c>
      <c r="G141" s="119">
        <f t="shared" si="3"/>
        <v>1.1199999999999999</v>
      </c>
      <c r="H141" s="119">
        <f t="shared" si="3"/>
        <v>1.1199999999999999</v>
      </c>
    </row>
    <row r="142" spans="1:8" x14ac:dyDescent="0.25">
      <c r="C142" s="83" t="s">
        <v>204</v>
      </c>
      <c r="D142" s="119">
        <f t="shared" si="3"/>
        <v>0.7</v>
      </c>
      <c r="E142" s="119">
        <f t="shared" si="3"/>
        <v>2.387</v>
      </c>
      <c r="F142" s="119">
        <f t="shared" si="3"/>
        <v>2.387</v>
      </c>
      <c r="G142" s="119">
        <f t="shared" si="3"/>
        <v>2.387</v>
      </c>
      <c r="H142" s="119">
        <f t="shared" si="3"/>
        <v>2.387</v>
      </c>
    </row>
    <row r="143" spans="1:8" x14ac:dyDescent="0.25">
      <c r="C143" s="83" t="s">
        <v>274</v>
      </c>
      <c r="D143" s="119">
        <f t="shared" si="3"/>
        <v>0.7</v>
      </c>
      <c r="E143" s="119">
        <f t="shared" si="3"/>
        <v>8.6310000000000002</v>
      </c>
      <c r="F143" s="119">
        <f t="shared" si="3"/>
        <v>8.6310000000000002</v>
      </c>
      <c r="G143" s="119">
        <f t="shared" si="3"/>
        <v>8.6310000000000002</v>
      </c>
      <c r="H143" s="119">
        <f t="shared" si="3"/>
        <v>8.6310000000000002</v>
      </c>
    </row>
    <row r="144" spans="1:8" x14ac:dyDescent="0.25">
      <c r="B144" s="67" t="s">
        <v>82</v>
      </c>
      <c r="C144" s="83" t="s">
        <v>267</v>
      </c>
      <c r="D144" s="119">
        <f t="shared" si="3"/>
        <v>0.7</v>
      </c>
      <c r="E144" s="119">
        <f t="shared" si="3"/>
        <v>0.7</v>
      </c>
      <c r="F144" s="119">
        <f t="shared" si="3"/>
        <v>0.7</v>
      </c>
      <c r="G144" s="119">
        <f t="shared" si="3"/>
        <v>0.7</v>
      </c>
      <c r="H144" s="119">
        <f t="shared" si="3"/>
        <v>0.7</v>
      </c>
    </row>
    <row r="145" spans="2:8" x14ac:dyDescent="0.25">
      <c r="C145" s="83" t="s">
        <v>268</v>
      </c>
      <c r="D145" s="119">
        <f t="shared" si="3"/>
        <v>0.7</v>
      </c>
      <c r="E145" s="119">
        <f t="shared" si="3"/>
        <v>1.3439999999999999</v>
      </c>
      <c r="F145" s="119">
        <f t="shared" si="3"/>
        <v>1.3439999999999999</v>
      </c>
      <c r="G145" s="119">
        <f t="shared" si="3"/>
        <v>1.3439999999999999</v>
      </c>
      <c r="H145" s="119">
        <f t="shared" si="3"/>
        <v>1.3439999999999999</v>
      </c>
    </row>
    <row r="146" spans="2:8" x14ac:dyDescent="0.25">
      <c r="C146" s="83" t="s">
        <v>204</v>
      </c>
      <c r="D146" s="119">
        <f t="shared" si="3"/>
        <v>0.7</v>
      </c>
      <c r="E146" s="119">
        <f t="shared" si="3"/>
        <v>3.262</v>
      </c>
      <c r="F146" s="119">
        <f t="shared" si="3"/>
        <v>3.262</v>
      </c>
      <c r="G146" s="119">
        <f t="shared" si="3"/>
        <v>3.262</v>
      </c>
      <c r="H146" s="119">
        <f t="shared" si="3"/>
        <v>3.262</v>
      </c>
    </row>
    <row r="147" spans="2:8" x14ac:dyDescent="0.25">
      <c r="C147" s="83" t="s">
        <v>274</v>
      </c>
      <c r="D147" s="119">
        <f t="shared" si="3"/>
        <v>0.7</v>
      </c>
      <c r="E147" s="119">
        <f t="shared" si="3"/>
        <v>6.7759999999999998</v>
      </c>
      <c r="F147" s="119">
        <f t="shared" si="3"/>
        <v>6.7759999999999998</v>
      </c>
      <c r="G147" s="119">
        <f t="shared" si="3"/>
        <v>6.7759999999999998</v>
      </c>
      <c r="H147" s="119">
        <f t="shared" si="3"/>
        <v>6.7759999999999998</v>
      </c>
    </row>
    <row r="148" spans="2:8" x14ac:dyDescent="0.25">
      <c r="B148" s="67" t="s">
        <v>84</v>
      </c>
      <c r="C148" s="83" t="s">
        <v>267</v>
      </c>
      <c r="D148" s="119">
        <f t="shared" si="3"/>
        <v>0.7</v>
      </c>
      <c r="E148" s="119">
        <f t="shared" si="3"/>
        <v>0.7</v>
      </c>
      <c r="F148" s="119">
        <f t="shared" si="3"/>
        <v>0.7</v>
      </c>
      <c r="G148" s="119">
        <f t="shared" si="3"/>
        <v>0.7</v>
      </c>
      <c r="H148" s="119">
        <f t="shared" si="3"/>
        <v>0.7</v>
      </c>
    </row>
    <row r="149" spans="2:8" x14ac:dyDescent="0.25">
      <c r="C149" s="83" t="s">
        <v>268</v>
      </c>
      <c r="D149" s="119">
        <f t="shared" si="3"/>
        <v>0.7</v>
      </c>
      <c r="E149" s="119">
        <f t="shared" si="3"/>
        <v>0.7</v>
      </c>
      <c r="F149" s="119">
        <f t="shared" si="3"/>
        <v>0.7</v>
      </c>
      <c r="G149" s="119">
        <f t="shared" si="3"/>
        <v>0.7</v>
      </c>
      <c r="H149" s="119">
        <f t="shared" si="3"/>
        <v>0.7</v>
      </c>
    </row>
    <row r="150" spans="2:8" x14ac:dyDescent="0.25">
      <c r="C150" s="83" t="s">
        <v>204</v>
      </c>
      <c r="D150" s="119">
        <f t="shared" ref="D150:H159" si="4">D40*0.7</f>
        <v>0.7</v>
      </c>
      <c r="E150" s="119">
        <f t="shared" si="4"/>
        <v>1.8059999999999998</v>
      </c>
      <c r="F150" s="119">
        <f t="shared" si="4"/>
        <v>1.8059999999999998</v>
      </c>
      <c r="G150" s="119">
        <f t="shared" si="4"/>
        <v>1.8059999999999998</v>
      </c>
      <c r="H150" s="119">
        <f t="shared" si="4"/>
        <v>1.8059999999999998</v>
      </c>
    </row>
    <row r="151" spans="2:8" x14ac:dyDescent="0.25">
      <c r="C151" s="83" t="s">
        <v>274</v>
      </c>
      <c r="D151" s="119">
        <f t="shared" si="4"/>
        <v>0.7</v>
      </c>
      <c r="E151" s="119">
        <f t="shared" si="4"/>
        <v>6.7410000000000005</v>
      </c>
      <c r="F151" s="119">
        <f t="shared" si="4"/>
        <v>6.7410000000000005</v>
      </c>
      <c r="G151" s="119">
        <f t="shared" si="4"/>
        <v>6.7410000000000005</v>
      </c>
      <c r="H151" s="119">
        <f t="shared" si="4"/>
        <v>6.7410000000000005</v>
      </c>
    </row>
    <row r="152" spans="2:8" x14ac:dyDescent="0.25">
      <c r="B152" s="67" t="s">
        <v>85</v>
      </c>
      <c r="C152" s="83" t="s">
        <v>267</v>
      </c>
      <c r="D152" s="119">
        <f t="shared" si="4"/>
        <v>0.7</v>
      </c>
      <c r="E152" s="119">
        <f t="shared" si="4"/>
        <v>0.7</v>
      </c>
      <c r="F152" s="119">
        <f t="shared" si="4"/>
        <v>0.7</v>
      </c>
      <c r="G152" s="119">
        <f t="shared" si="4"/>
        <v>0.7</v>
      </c>
      <c r="H152" s="119">
        <f t="shared" si="4"/>
        <v>0.7</v>
      </c>
    </row>
    <row r="153" spans="2:8" x14ac:dyDescent="0.25">
      <c r="C153" s="83" t="s">
        <v>268</v>
      </c>
      <c r="D153" s="119">
        <f t="shared" si="4"/>
        <v>0.7</v>
      </c>
      <c r="E153" s="119">
        <f t="shared" si="4"/>
        <v>0.7</v>
      </c>
      <c r="F153" s="119">
        <f t="shared" si="4"/>
        <v>0.7</v>
      </c>
      <c r="G153" s="119">
        <f t="shared" si="4"/>
        <v>0.7</v>
      </c>
      <c r="H153" s="119">
        <f t="shared" si="4"/>
        <v>0.7</v>
      </c>
    </row>
    <row r="154" spans="2:8" x14ac:dyDescent="0.25">
      <c r="C154" s="83" t="s">
        <v>204</v>
      </c>
      <c r="D154" s="119">
        <f t="shared" si="4"/>
        <v>0.7</v>
      </c>
      <c r="E154" s="119">
        <f t="shared" si="4"/>
        <v>0.7</v>
      </c>
      <c r="F154" s="119">
        <f t="shared" si="4"/>
        <v>0.7</v>
      </c>
      <c r="G154" s="119">
        <f t="shared" si="4"/>
        <v>0.7</v>
      </c>
      <c r="H154" s="119">
        <f t="shared" si="4"/>
        <v>0.7</v>
      </c>
    </row>
    <row r="155" spans="2:8" x14ac:dyDescent="0.25">
      <c r="C155" s="83" t="s">
        <v>274</v>
      </c>
      <c r="D155" s="119">
        <f t="shared" si="4"/>
        <v>0.7</v>
      </c>
      <c r="E155" s="119">
        <f t="shared" si="4"/>
        <v>0.7</v>
      </c>
      <c r="F155" s="119">
        <f t="shared" si="4"/>
        <v>0.7</v>
      </c>
      <c r="G155" s="119">
        <f t="shared" si="4"/>
        <v>0.7</v>
      </c>
      <c r="H155" s="119">
        <f t="shared" si="4"/>
        <v>0.7</v>
      </c>
    </row>
    <row r="156" spans="2:8" x14ac:dyDescent="0.25">
      <c r="B156" s="67" t="s">
        <v>83</v>
      </c>
      <c r="C156" s="83" t="s">
        <v>267</v>
      </c>
      <c r="D156" s="119">
        <f t="shared" si="4"/>
        <v>0.7</v>
      </c>
      <c r="E156" s="119">
        <f t="shared" si="4"/>
        <v>0.7</v>
      </c>
      <c r="F156" s="119">
        <f t="shared" si="4"/>
        <v>0.7</v>
      </c>
      <c r="G156" s="119">
        <f t="shared" si="4"/>
        <v>0.7</v>
      </c>
      <c r="H156" s="119">
        <f t="shared" si="4"/>
        <v>0.7</v>
      </c>
    </row>
    <row r="157" spans="2:8" x14ac:dyDescent="0.25">
      <c r="C157" s="83" t="s">
        <v>268</v>
      </c>
      <c r="D157" s="119">
        <f t="shared" si="4"/>
        <v>0.7</v>
      </c>
      <c r="E157" s="119">
        <f t="shared" si="4"/>
        <v>1.1549999999999998</v>
      </c>
      <c r="F157" s="119">
        <f t="shared" si="4"/>
        <v>1.1549999999999998</v>
      </c>
      <c r="G157" s="119">
        <f t="shared" si="4"/>
        <v>1.1549999999999998</v>
      </c>
      <c r="H157" s="119">
        <f t="shared" si="4"/>
        <v>1.1549999999999998</v>
      </c>
    </row>
    <row r="158" spans="2:8" x14ac:dyDescent="0.25">
      <c r="C158" s="83" t="s">
        <v>204</v>
      </c>
      <c r="D158" s="119">
        <f t="shared" si="4"/>
        <v>0.7</v>
      </c>
      <c r="E158" s="119">
        <f t="shared" si="4"/>
        <v>1.9109999999999998</v>
      </c>
      <c r="F158" s="119">
        <f t="shared" si="4"/>
        <v>1.9109999999999998</v>
      </c>
      <c r="G158" s="119">
        <f t="shared" si="4"/>
        <v>1.9109999999999998</v>
      </c>
      <c r="H158" s="119">
        <f t="shared" si="4"/>
        <v>1.9109999999999998</v>
      </c>
    </row>
    <row r="159" spans="2:8" x14ac:dyDescent="0.25">
      <c r="C159" s="83" t="s">
        <v>274</v>
      </c>
      <c r="D159" s="119">
        <f t="shared" si="4"/>
        <v>0.7</v>
      </c>
      <c r="E159" s="119">
        <f t="shared" si="4"/>
        <v>7.8470000000000004</v>
      </c>
      <c r="F159" s="119">
        <f t="shared" si="4"/>
        <v>7.8470000000000004</v>
      </c>
      <c r="G159" s="119">
        <f t="shared" si="4"/>
        <v>7.8470000000000004</v>
      </c>
      <c r="H159" s="119">
        <f t="shared" si="4"/>
        <v>7.8470000000000004</v>
      </c>
    </row>
    <row r="160" spans="2:8" x14ac:dyDescent="0.25">
      <c r="B160" s="67" t="s">
        <v>89</v>
      </c>
      <c r="C160" s="83" t="s">
        <v>267</v>
      </c>
      <c r="D160" s="119">
        <f t="shared" ref="D160:H169" si="5">D50*0.7</f>
        <v>0.7</v>
      </c>
      <c r="E160" s="119">
        <f t="shared" si="5"/>
        <v>0.7</v>
      </c>
      <c r="F160" s="119">
        <f t="shared" si="5"/>
        <v>0.7</v>
      </c>
      <c r="G160" s="119">
        <f t="shared" si="5"/>
        <v>0.7</v>
      </c>
      <c r="H160" s="119">
        <f t="shared" si="5"/>
        <v>0.7</v>
      </c>
    </row>
    <row r="161" spans="1:8" x14ac:dyDescent="0.25">
      <c r="C161" s="83" t="s">
        <v>268</v>
      </c>
      <c r="D161" s="119">
        <f t="shared" si="5"/>
        <v>0.7</v>
      </c>
      <c r="E161" s="119">
        <f t="shared" si="5"/>
        <v>1.1549999999999998</v>
      </c>
      <c r="F161" s="119">
        <f t="shared" si="5"/>
        <v>1.1549999999999998</v>
      </c>
      <c r="G161" s="119">
        <f t="shared" si="5"/>
        <v>1.1549999999999998</v>
      </c>
      <c r="H161" s="119">
        <f t="shared" si="5"/>
        <v>1.1549999999999998</v>
      </c>
    </row>
    <row r="162" spans="1:8" x14ac:dyDescent="0.25">
      <c r="C162" s="83" t="s">
        <v>204</v>
      </c>
      <c r="D162" s="119">
        <f t="shared" si="5"/>
        <v>0.7</v>
      </c>
      <c r="E162" s="119">
        <f t="shared" si="5"/>
        <v>1.9109999999999998</v>
      </c>
      <c r="F162" s="119">
        <f t="shared" si="5"/>
        <v>1.9109999999999998</v>
      </c>
      <c r="G162" s="119">
        <f t="shared" si="5"/>
        <v>1.9109999999999998</v>
      </c>
      <c r="H162" s="119">
        <f t="shared" si="5"/>
        <v>1.9109999999999998</v>
      </c>
    </row>
    <row r="163" spans="1:8" x14ac:dyDescent="0.25">
      <c r="C163" s="83" t="s">
        <v>274</v>
      </c>
      <c r="D163" s="119">
        <f t="shared" si="5"/>
        <v>0.7</v>
      </c>
      <c r="E163" s="119">
        <f t="shared" si="5"/>
        <v>7.8470000000000004</v>
      </c>
      <c r="F163" s="119">
        <f t="shared" si="5"/>
        <v>7.8470000000000004</v>
      </c>
      <c r="G163" s="119">
        <f t="shared" si="5"/>
        <v>7.8470000000000004</v>
      </c>
      <c r="H163" s="119">
        <f t="shared" si="5"/>
        <v>7.8470000000000004</v>
      </c>
    </row>
    <row r="164" spans="1:8" x14ac:dyDescent="0.25">
      <c r="C164" s="83"/>
      <c r="D164" s="83"/>
    </row>
    <row r="165" spans="1:8" ht="13" customHeight="1" x14ac:dyDescent="0.3">
      <c r="A165" s="60" t="s">
        <v>275</v>
      </c>
      <c r="B165" s="70"/>
      <c r="C165" s="70"/>
      <c r="D165" s="70"/>
      <c r="E165" s="70"/>
      <c r="F165" s="70"/>
      <c r="G165" s="70"/>
      <c r="H165" s="70"/>
    </row>
    <row r="166" spans="1:8" ht="13" customHeight="1" x14ac:dyDescent="0.3">
      <c r="A166" s="78" t="s">
        <v>111</v>
      </c>
      <c r="B166" s="57" t="s">
        <v>265</v>
      </c>
      <c r="C166" s="80" t="s">
        <v>276</v>
      </c>
      <c r="D166" s="62" t="s">
        <v>112</v>
      </c>
      <c r="E166" s="62" t="s">
        <v>113</v>
      </c>
      <c r="F166" s="62" t="s">
        <v>114</v>
      </c>
      <c r="G166" s="62" t="s">
        <v>115</v>
      </c>
      <c r="H166" s="77"/>
    </row>
    <row r="167" spans="1:8" ht="13" customHeight="1" x14ac:dyDescent="0.3">
      <c r="A167" s="57"/>
      <c r="B167" s="67" t="s">
        <v>91</v>
      </c>
      <c r="C167" s="83" t="s">
        <v>277</v>
      </c>
      <c r="D167" s="119">
        <f t="shared" ref="D167:G172" si="6">D57*0.7</f>
        <v>0.7</v>
      </c>
      <c r="E167" s="119">
        <f t="shared" si="6"/>
        <v>0.7</v>
      </c>
      <c r="F167" s="119">
        <f t="shared" si="6"/>
        <v>0.7</v>
      </c>
      <c r="G167" s="119">
        <f t="shared" si="6"/>
        <v>0.7</v>
      </c>
      <c r="H167" s="78"/>
    </row>
    <row r="168" spans="1:8" x14ac:dyDescent="0.25">
      <c r="C168" s="83" t="s">
        <v>278</v>
      </c>
      <c r="D168" s="119">
        <f t="shared" si="6"/>
        <v>7.4725000000000001</v>
      </c>
      <c r="E168" s="119">
        <f t="shared" si="6"/>
        <v>7.4725000000000001</v>
      </c>
      <c r="F168" s="119">
        <f t="shared" si="6"/>
        <v>7.4725000000000001</v>
      </c>
      <c r="G168" s="119">
        <f t="shared" si="6"/>
        <v>7.4725000000000001</v>
      </c>
      <c r="H168" s="78"/>
    </row>
    <row r="169" spans="1:8" x14ac:dyDescent="0.25">
      <c r="B169" s="67" t="s">
        <v>92</v>
      </c>
      <c r="C169" s="83" t="s">
        <v>277</v>
      </c>
      <c r="D169" s="119">
        <f t="shared" si="6"/>
        <v>0.7</v>
      </c>
      <c r="E169" s="119">
        <f t="shared" si="6"/>
        <v>0.7</v>
      </c>
      <c r="F169" s="119">
        <f t="shared" si="6"/>
        <v>0.7</v>
      </c>
      <c r="G169" s="119">
        <f t="shared" si="6"/>
        <v>0.7</v>
      </c>
      <c r="H169" s="78"/>
    </row>
    <row r="170" spans="1:8" x14ac:dyDescent="0.25">
      <c r="C170" s="83" t="s">
        <v>278</v>
      </c>
      <c r="D170" s="119">
        <f t="shared" si="6"/>
        <v>7.4725000000000001</v>
      </c>
      <c r="E170" s="119">
        <f t="shared" si="6"/>
        <v>7.4725000000000001</v>
      </c>
      <c r="F170" s="119">
        <f t="shared" si="6"/>
        <v>7.4725000000000001</v>
      </c>
      <c r="G170" s="119">
        <f t="shared" si="6"/>
        <v>7.4725000000000001</v>
      </c>
      <c r="H170" s="78"/>
    </row>
    <row r="171" spans="1:8" x14ac:dyDescent="0.25">
      <c r="B171" s="67" t="s">
        <v>93</v>
      </c>
      <c r="C171" s="83" t="s">
        <v>277</v>
      </c>
      <c r="D171" s="119">
        <f t="shared" si="6"/>
        <v>0.7</v>
      </c>
      <c r="E171" s="119">
        <f t="shared" si="6"/>
        <v>0.7</v>
      </c>
      <c r="F171" s="119">
        <f t="shared" si="6"/>
        <v>0.7</v>
      </c>
      <c r="G171" s="119">
        <f t="shared" si="6"/>
        <v>0.7</v>
      </c>
      <c r="H171" s="78"/>
    </row>
    <row r="172" spans="1:8" x14ac:dyDescent="0.25">
      <c r="C172" s="83" t="s">
        <v>278</v>
      </c>
      <c r="D172" s="119">
        <f t="shared" si="6"/>
        <v>7.4725000000000001</v>
      </c>
      <c r="E172" s="119">
        <f t="shared" si="6"/>
        <v>7.4725000000000001</v>
      </c>
      <c r="F172" s="119">
        <f t="shared" si="6"/>
        <v>7.4725000000000001</v>
      </c>
      <c r="G172" s="119">
        <f t="shared" si="6"/>
        <v>7.4725000000000001</v>
      </c>
      <c r="H172" s="78"/>
    </row>
    <row r="173" spans="1:8" x14ac:dyDescent="0.25">
      <c r="C173" s="83"/>
      <c r="D173" s="83"/>
    </row>
    <row r="174" spans="1:8" ht="13" customHeight="1" x14ac:dyDescent="0.3">
      <c r="A174" s="60" t="s">
        <v>279</v>
      </c>
      <c r="B174" s="70"/>
      <c r="C174" s="70"/>
      <c r="D174" s="70"/>
      <c r="E174" s="70"/>
      <c r="F174" s="70"/>
      <c r="G174" s="70"/>
      <c r="H174" s="70"/>
    </row>
    <row r="175" spans="1:8" ht="26" customHeight="1" x14ac:dyDescent="0.3">
      <c r="A175" s="78" t="s">
        <v>118</v>
      </c>
      <c r="B175" s="57" t="s">
        <v>265</v>
      </c>
      <c r="C175" s="80" t="s">
        <v>280</v>
      </c>
      <c r="D175" s="62" t="s">
        <v>67</v>
      </c>
      <c r="E175" s="62" t="s">
        <v>77</v>
      </c>
      <c r="F175" s="62" t="s">
        <v>78</v>
      </c>
      <c r="G175" s="62" t="s">
        <v>79</v>
      </c>
      <c r="H175" s="81" t="s">
        <v>80</v>
      </c>
    </row>
    <row r="176" spans="1:8" ht="13" customHeight="1" x14ac:dyDescent="0.3">
      <c r="A176" s="82"/>
      <c r="B176" s="67" t="s">
        <v>68</v>
      </c>
      <c r="C176" s="83" t="s">
        <v>119</v>
      </c>
      <c r="D176" s="119">
        <f t="shared" ref="D176:G195" si="7">D66*0.7</f>
        <v>0.7</v>
      </c>
      <c r="E176" s="119">
        <f t="shared" si="7"/>
        <v>0.7</v>
      </c>
      <c r="F176" s="119">
        <f t="shared" si="7"/>
        <v>0.7</v>
      </c>
      <c r="G176" s="119">
        <f t="shared" si="7"/>
        <v>0.7</v>
      </c>
      <c r="H176" s="78">
        <v>0.9</v>
      </c>
    </row>
    <row r="177" spans="2:8" x14ac:dyDescent="0.25">
      <c r="C177" s="83" t="s">
        <v>120</v>
      </c>
      <c r="D177" s="119">
        <f t="shared" si="7"/>
        <v>0.94499999999999995</v>
      </c>
      <c r="E177" s="119">
        <f t="shared" si="7"/>
        <v>0.7</v>
      </c>
      <c r="F177" s="119">
        <f t="shared" si="7"/>
        <v>0.7</v>
      </c>
      <c r="G177" s="119">
        <f t="shared" si="7"/>
        <v>0.7</v>
      </c>
      <c r="H177" s="78">
        <v>0.9</v>
      </c>
    </row>
    <row r="178" spans="2:8" x14ac:dyDescent="0.25">
      <c r="C178" s="83" t="s">
        <v>121</v>
      </c>
      <c r="D178" s="119">
        <f t="shared" si="7"/>
        <v>0.94499999999999995</v>
      </c>
      <c r="E178" s="119">
        <f t="shared" si="7"/>
        <v>0.7</v>
      </c>
      <c r="F178" s="119">
        <f t="shared" si="7"/>
        <v>0.7</v>
      </c>
      <c r="G178" s="119">
        <f t="shared" si="7"/>
        <v>0.7</v>
      </c>
      <c r="H178" s="78">
        <v>0.9</v>
      </c>
    </row>
    <row r="179" spans="2:8" x14ac:dyDescent="0.25">
      <c r="C179" s="83" t="s">
        <v>122</v>
      </c>
      <c r="D179" s="119">
        <f t="shared" si="7"/>
        <v>3.78</v>
      </c>
      <c r="E179" s="119">
        <f t="shared" si="7"/>
        <v>0.7</v>
      </c>
      <c r="F179" s="119">
        <f t="shared" si="7"/>
        <v>0.7</v>
      </c>
      <c r="G179" s="119">
        <f t="shared" si="7"/>
        <v>0.7</v>
      </c>
      <c r="H179" s="78">
        <v>0.9</v>
      </c>
    </row>
    <row r="180" spans="2:8" x14ac:dyDescent="0.25">
      <c r="B180" s="67" t="s">
        <v>69</v>
      </c>
      <c r="C180" s="83" t="s">
        <v>119</v>
      </c>
      <c r="D180" s="119">
        <f t="shared" si="7"/>
        <v>0.7</v>
      </c>
      <c r="E180" s="119">
        <f t="shared" si="7"/>
        <v>0.7</v>
      </c>
      <c r="F180" s="119">
        <f t="shared" si="7"/>
        <v>0.7</v>
      </c>
      <c r="G180" s="119">
        <f t="shared" si="7"/>
        <v>0.7</v>
      </c>
      <c r="H180" s="78">
        <v>0.9</v>
      </c>
    </row>
    <row r="181" spans="2:8" x14ac:dyDescent="0.25">
      <c r="C181" s="83" t="s">
        <v>120</v>
      </c>
      <c r="D181" s="119">
        <f t="shared" si="7"/>
        <v>0.94499999999999995</v>
      </c>
      <c r="E181" s="119">
        <f t="shared" si="7"/>
        <v>0.7</v>
      </c>
      <c r="F181" s="119">
        <f t="shared" si="7"/>
        <v>0.7</v>
      </c>
      <c r="G181" s="119">
        <f t="shared" si="7"/>
        <v>0.7</v>
      </c>
      <c r="H181" s="78">
        <v>0.9</v>
      </c>
    </row>
    <row r="182" spans="2:8" x14ac:dyDescent="0.25">
      <c r="C182" s="83" t="s">
        <v>121</v>
      </c>
      <c r="D182" s="119">
        <f t="shared" si="7"/>
        <v>0.94499999999999995</v>
      </c>
      <c r="E182" s="119">
        <f t="shared" si="7"/>
        <v>0.7</v>
      </c>
      <c r="F182" s="119">
        <f t="shared" si="7"/>
        <v>0.7</v>
      </c>
      <c r="G182" s="119">
        <f t="shared" si="7"/>
        <v>0.7</v>
      </c>
      <c r="H182" s="78">
        <v>0.9</v>
      </c>
    </row>
    <row r="183" spans="2:8" x14ac:dyDescent="0.25">
      <c r="C183" s="83" t="s">
        <v>122</v>
      </c>
      <c r="D183" s="119">
        <f t="shared" si="7"/>
        <v>3.78</v>
      </c>
      <c r="E183" s="119">
        <f t="shared" si="7"/>
        <v>0.7</v>
      </c>
      <c r="F183" s="119">
        <f t="shared" si="7"/>
        <v>0.7</v>
      </c>
      <c r="G183" s="119">
        <f t="shared" si="7"/>
        <v>0.7</v>
      </c>
      <c r="H183" s="78">
        <v>0.9</v>
      </c>
    </row>
    <row r="184" spans="2:8" x14ac:dyDescent="0.25">
      <c r="B184" s="67" t="s">
        <v>70</v>
      </c>
      <c r="C184" s="83" t="s">
        <v>119</v>
      </c>
      <c r="D184" s="119">
        <f t="shared" si="7"/>
        <v>0.7</v>
      </c>
      <c r="E184" s="119">
        <f t="shared" si="7"/>
        <v>0.7</v>
      </c>
      <c r="F184" s="119">
        <f t="shared" si="7"/>
        <v>0.7</v>
      </c>
      <c r="G184" s="119">
        <f t="shared" si="7"/>
        <v>0.7</v>
      </c>
      <c r="H184" s="78">
        <v>0.9</v>
      </c>
    </row>
    <row r="185" spans="2:8" x14ac:dyDescent="0.25">
      <c r="C185" s="83" t="s">
        <v>120</v>
      </c>
      <c r="D185" s="119">
        <f t="shared" si="7"/>
        <v>0.94499999999999995</v>
      </c>
      <c r="E185" s="119">
        <f t="shared" si="7"/>
        <v>0.7</v>
      </c>
      <c r="F185" s="119">
        <f t="shared" si="7"/>
        <v>0.7</v>
      </c>
      <c r="G185" s="119">
        <f t="shared" si="7"/>
        <v>0.7</v>
      </c>
      <c r="H185" s="78">
        <v>0.9</v>
      </c>
    </row>
    <row r="186" spans="2:8" x14ac:dyDescent="0.25">
      <c r="C186" s="83" t="s">
        <v>121</v>
      </c>
      <c r="D186" s="119">
        <f t="shared" si="7"/>
        <v>0.94499999999999995</v>
      </c>
      <c r="E186" s="119">
        <f t="shared" si="7"/>
        <v>0.7</v>
      </c>
      <c r="F186" s="119">
        <f t="shared" si="7"/>
        <v>0.7</v>
      </c>
      <c r="G186" s="119">
        <f t="shared" si="7"/>
        <v>0.7</v>
      </c>
      <c r="H186" s="78">
        <v>0.9</v>
      </c>
    </row>
    <row r="187" spans="2:8" x14ac:dyDescent="0.25">
      <c r="C187" s="83" t="s">
        <v>122</v>
      </c>
      <c r="D187" s="119">
        <f t="shared" si="7"/>
        <v>3.78</v>
      </c>
      <c r="E187" s="119">
        <f t="shared" si="7"/>
        <v>0.7</v>
      </c>
      <c r="F187" s="119">
        <f t="shared" si="7"/>
        <v>0.7</v>
      </c>
      <c r="G187" s="119">
        <f t="shared" si="7"/>
        <v>0.7</v>
      </c>
      <c r="H187" s="78">
        <v>0.9</v>
      </c>
    </row>
    <row r="188" spans="2:8" x14ac:dyDescent="0.25">
      <c r="B188" s="67" t="s">
        <v>72</v>
      </c>
      <c r="C188" s="83" t="s">
        <v>119</v>
      </c>
      <c r="D188" s="119">
        <f t="shared" si="7"/>
        <v>0.7</v>
      </c>
      <c r="E188" s="119">
        <f t="shared" si="7"/>
        <v>0.7</v>
      </c>
      <c r="F188" s="119">
        <f t="shared" si="7"/>
        <v>0.7</v>
      </c>
      <c r="G188" s="119">
        <f t="shared" si="7"/>
        <v>0.7</v>
      </c>
      <c r="H188" s="78">
        <v>0.9</v>
      </c>
    </row>
    <row r="189" spans="2:8" x14ac:dyDescent="0.25">
      <c r="C189" s="83" t="s">
        <v>120</v>
      </c>
      <c r="D189" s="119">
        <f t="shared" si="7"/>
        <v>0.7</v>
      </c>
      <c r="E189" s="119">
        <f t="shared" si="7"/>
        <v>0.7</v>
      </c>
      <c r="F189" s="119">
        <f t="shared" si="7"/>
        <v>0.7</v>
      </c>
      <c r="G189" s="119">
        <f t="shared" si="7"/>
        <v>0.7</v>
      </c>
      <c r="H189" s="78">
        <v>0.9</v>
      </c>
    </row>
    <row r="190" spans="2:8" x14ac:dyDescent="0.25">
      <c r="C190" s="83" t="s">
        <v>121</v>
      </c>
      <c r="D190" s="119">
        <f t="shared" si="7"/>
        <v>0.7</v>
      </c>
      <c r="E190" s="119">
        <f t="shared" si="7"/>
        <v>0.7</v>
      </c>
      <c r="F190" s="119">
        <f t="shared" si="7"/>
        <v>0.7</v>
      </c>
      <c r="G190" s="119">
        <f t="shared" si="7"/>
        <v>0.7</v>
      </c>
      <c r="H190" s="78">
        <v>0.9</v>
      </c>
    </row>
    <row r="191" spans="2:8" x14ac:dyDescent="0.25">
      <c r="C191" s="83" t="s">
        <v>122</v>
      </c>
      <c r="D191" s="119">
        <f t="shared" si="7"/>
        <v>0.7</v>
      </c>
      <c r="E191" s="119">
        <f t="shared" si="7"/>
        <v>0.7</v>
      </c>
      <c r="F191" s="119">
        <f t="shared" si="7"/>
        <v>0.7</v>
      </c>
      <c r="G191" s="119">
        <f t="shared" si="7"/>
        <v>0.7</v>
      </c>
      <c r="H191" s="78">
        <v>0.9</v>
      </c>
    </row>
    <row r="192" spans="2:8" x14ac:dyDescent="0.25">
      <c r="B192" s="67" t="s">
        <v>81</v>
      </c>
      <c r="C192" s="83" t="s">
        <v>119</v>
      </c>
      <c r="D192" s="119">
        <f t="shared" si="7"/>
        <v>0.7</v>
      </c>
      <c r="E192" s="119">
        <f t="shared" si="7"/>
        <v>0.7</v>
      </c>
      <c r="F192" s="119">
        <f t="shared" si="7"/>
        <v>0.7</v>
      </c>
      <c r="G192" s="119">
        <f t="shared" si="7"/>
        <v>0.7</v>
      </c>
      <c r="H192" s="78">
        <v>0.9</v>
      </c>
    </row>
    <row r="193" spans="2:8" x14ac:dyDescent="0.25">
      <c r="C193" s="83" t="s">
        <v>120</v>
      </c>
      <c r="D193" s="119">
        <f t="shared" si="7"/>
        <v>0.7</v>
      </c>
      <c r="E193" s="119">
        <f t="shared" si="7"/>
        <v>1.5959999999999999</v>
      </c>
      <c r="F193" s="119">
        <f t="shared" si="7"/>
        <v>0.7</v>
      </c>
      <c r="G193" s="119">
        <f t="shared" si="7"/>
        <v>0.7</v>
      </c>
      <c r="H193" s="78">
        <v>0.9</v>
      </c>
    </row>
    <row r="194" spans="2:8" x14ac:dyDescent="0.25">
      <c r="C194" s="83" t="s">
        <v>121</v>
      </c>
      <c r="D194" s="119">
        <f t="shared" si="7"/>
        <v>0.7</v>
      </c>
      <c r="E194" s="119">
        <f t="shared" si="7"/>
        <v>3.234</v>
      </c>
      <c r="F194" s="119">
        <f t="shared" si="7"/>
        <v>0.7</v>
      </c>
      <c r="G194" s="119">
        <f t="shared" si="7"/>
        <v>0.7</v>
      </c>
      <c r="H194" s="78">
        <v>0.9</v>
      </c>
    </row>
    <row r="195" spans="2:8" x14ac:dyDescent="0.25">
      <c r="C195" s="83" t="s">
        <v>122</v>
      </c>
      <c r="D195" s="119">
        <f t="shared" si="7"/>
        <v>0.7</v>
      </c>
      <c r="E195" s="119">
        <f t="shared" si="7"/>
        <v>7.3709999999999987</v>
      </c>
      <c r="F195" s="119">
        <f t="shared" si="7"/>
        <v>1.0289999999999999</v>
      </c>
      <c r="G195" s="119">
        <f t="shared" si="7"/>
        <v>1.7989999999999997</v>
      </c>
      <c r="H195" s="78">
        <v>0.9</v>
      </c>
    </row>
    <row r="196" spans="2:8" x14ac:dyDescent="0.25">
      <c r="B196" s="67" t="s">
        <v>82</v>
      </c>
      <c r="C196" s="83" t="s">
        <v>119</v>
      </c>
      <c r="D196" s="119">
        <f t="shared" ref="D196:G215" si="8">D86*0.7</f>
        <v>0.7</v>
      </c>
      <c r="E196" s="119">
        <f t="shared" si="8"/>
        <v>0.7</v>
      </c>
      <c r="F196" s="119">
        <f t="shared" si="8"/>
        <v>0.7</v>
      </c>
      <c r="G196" s="119">
        <f t="shared" si="8"/>
        <v>0.7</v>
      </c>
      <c r="H196" s="78">
        <v>0.9</v>
      </c>
    </row>
    <row r="197" spans="2:8" x14ac:dyDescent="0.25">
      <c r="C197" s="83" t="s">
        <v>120</v>
      </c>
      <c r="D197" s="119">
        <f t="shared" si="8"/>
        <v>0.7</v>
      </c>
      <c r="E197" s="119">
        <f t="shared" si="8"/>
        <v>1.1619999999999999</v>
      </c>
      <c r="F197" s="119">
        <f t="shared" si="8"/>
        <v>0.7</v>
      </c>
      <c r="G197" s="119">
        <f t="shared" si="8"/>
        <v>0.7</v>
      </c>
      <c r="H197" s="78">
        <v>0.9</v>
      </c>
    </row>
    <row r="198" spans="2:8" x14ac:dyDescent="0.25">
      <c r="C198" s="83" t="s">
        <v>121</v>
      </c>
      <c r="D198" s="119">
        <f t="shared" si="8"/>
        <v>0.7</v>
      </c>
      <c r="E198" s="119">
        <f t="shared" si="8"/>
        <v>1.75</v>
      </c>
      <c r="F198" s="119">
        <f t="shared" si="8"/>
        <v>0.7</v>
      </c>
      <c r="G198" s="119">
        <f t="shared" si="8"/>
        <v>0.7</v>
      </c>
      <c r="H198" s="78">
        <v>0.9</v>
      </c>
    </row>
    <row r="199" spans="2:8" x14ac:dyDescent="0.25">
      <c r="C199" s="83" t="s">
        <v>122</v>
      </c>
      <c r="D199" s="119">
        <f t="shared" si="8"/>
        <v>0.7</v>
      </c>
      <c r="E199" s="119">
        <f t="shared" si="8"/>
        <v>10.478999999999999</v>
      </c>
      <c r="F199" s="119">
        <f t="shared" si="8"/>
        <v>1.3439999999999999</v>
      </c>
      <c r="G199" s="119">
        <f t="shared" si="8"/>
        <v>1.3439999999999999</v>
      </c>
      <c r="H199" s="78">
        <v>0.9</v>
      </c>
    </row>
    <row r="200" spans="2:8" x14ac:dyDescent="0.25">
      <c r="B200" s="67" t="s">
        <v>84</v>
      </c>
      <c r="C200" s="83" t="s">
        <v>119</v>
      </c>
      <c r="D200" s="119">
        <f t="shared" si="8"/>
        <v>0.7</v>
      </c>
      <c r="E200" s="119">
        <f t="shared" si="8"/>
        <v>0.7</v>
      </c>
      <c r="F200" s="119">
        <f t="shared" si="8"/>
        <v>0.7</v>
      </c>
      <c r="G200" s="119">
        <f t="shared" si="8"/>
        <v>0.7</v>
      </c>
      <c r="H200" s="78">
        <v>0.9</v>
      </c>
    </row>
    <row r="201" spans="2:8" x14ac:dyDescent="0.25">
      <c r="C201" s="83" t="s">
        <v>120</v>
      </c>
      <c r="D201" s="119">
        <f t="shared" si="8"/>
        <v>0.7</v>
      </c>
      <c r="E201" s="119">
        <f t="shared" si="8"/>
        <v>1.036</v>
      </c>
      <c r="F201" s="119">
        <f t="shared" si="8"/>
        <v>0.7</v>
      </c>
      <c r="G201" s="119">
        <f t="shared" si="8"/>
        <v>0.7</v>
      </c>
      <c r="H201" s="78">
        <v>0.9</v>
      </c>
    </row>
    <row r="202" spans="2:8" x14ac:dyDescent="0.25">
      <c r="C202" s="83" t="s">
        <v>121</v>
      </c>
      <c r="D202" s="119">
        <f t="shared" si="8"/>
        <v>0.7</v>
      </c>
      <c r="E202" s="119">
        <f t="shared" si="8"/>
        <v>1.9879999999999998</v>
      </c>
      <c r="F202" s="119">
        <f t="shared" si="8"/>
        <v>0.7</v>
      </c>
      <c r="G202" s="119">
        <f t="shared" si="8"/>
        <v>0.7</v>
      </c>
      <c r="H202" s="78">
        <v>0.9</v>
      </c>
    </row>
    <row r="203" spans="2:8" x14ac:dyDescent="0.25">
      <c r="C203" s="83" t="s">
        <v>122</v>
      </c>
      <c r="D203" s="119">
        <f t="shared" si="8"/>
        <v>0.7</v>
      </c>
      <c r="E203" s="119">
        <f t="shared" si="8"/>
        <v>10.08</v>
      </c>
      <c r="F203" s="119">
        <f t="shared" si="8"/>
        <v>2.5829999999999997</v>
      </c>
      <c r="G203" s="119">
        <f t="shared" si="8"/>
        <v>2.5829999999999997</v>
      </c>
      <c r="H203" s="78">
        <v>0.9</v>
      </c>
    </row>
    <row r="204" spans="2:8" x14ac:dyDescent="0.25">
      <c r="B204" s="67" t="s">
        <v>83</v>
      </c>
      <c r="C204" s="83" t="s">
        <v>119</v>
      </c>
      <c r="D204" s="119">
        <f t="shared" si="8"/>
        <v>0.7</v>
      </c>
      <c r="E204" s="119">
        <f t="shared" si="8"/>
        <v>0.7</v>
      </c>
      <c r="F204" s="119">
        <f t="shared" si="8"/>
        <v>0.7</v>
      </c>
      <c r="G204" s="119">
        <f t="shared" si="8"/>
        <v>0.7</v>
      </c>
      <c r="H204" s="78">
        <v>0.9</v>
      </c>
    </row>
    <row r="205" spans="2:8" x14ac:dyDescent="0.25">
      <c r="C205" s="83" t="s">
        <v>120</v>
      </c>
      <c r="D205" s="119">
        <f t="shared" si="8"/>
        <v>0.7</v>
      </c>
      <c r="E205" s="119">
        <f t="shared" si="8"/>
        <v>1.036</v>
      </c>
      <c r="F205" s="119">
        <f t="shared" si="8"/>
        <v>0.7</v>
      </c>
      <c r="G205" s="119">
        <f t="shared" si="8"/>
        <v>0.7</v>
      </c>
      <c r="H205" s="78">
        <v>0.9</v>
      </c>
    </row>
    <row r="206" spans="2:8" x14ac:dyDescent="0.25">
      <c r="C206" s="83" t="s">
        <v>121</v>
      </c>
      <c r="D206" s="119">
        <f t="shared" si="8"/>
        <v>0.7</v>
      </c>
      <c r="E206" s="119">
        <f t="shared" si="8"/>
        <v>1.9879999999999998</v>
      </c>
      <c r="F206" s="119">
        <f t="shared" si="8"/>
        <v>0.7</v>
      </c>
      <c r="G206" s="119">
        <f t="shared" si="8"/>
        <v>0.7</v>
      </c>
      <c r="H206" s="78">
        <v>0.9</v>
      </c>
    </row>
    <row r="207" spans="2:8" x14ac:dyDescent="0.25">
      <c r="C207" s="83" t="s">
        <v>122</v>
      </c>
      <c r="D207" s="119">
        <f t="shared" si="8"/>
        <v>0.7</v>
      </c>
      <c r="E207" s="119">
        <f t="shared" si="8"/>
        <v>10.08</v>
      </c>
      <c r="F207" s="119">
        <f t="shared" si="8"/>
        <v>2.5829999999999997</v>
      </c>
      <c r="G207" s="119">
        <f t="shared" si="8"/>
        <v>2.5829999999999997</v>
      </c>
      <c r="H207" s="78">
        <v>0.9</v>
      </c>
    </row>
    <row r="208" spans="2:8" x14ac:dyDescent="0.25">
      <c r="B208" s="67" t="s">
        <v>86</v>
      </c>
      <c r="C208" s="83" t="s">
        <v>119</v>
      </c>
      <c r="D208" s="119">
        <f t="shared" si="8"/>
        <v>0.7</v>
      </c>
      <c r="E208" s="119">
        <f t="shared" si="8"/>
        <v>0.7</v>
      </c>
      <c r="F208" s="119">
        <f t="shared" si="8"/>
        <v>0.7</v>
      </c>
      <c r="G208" s="119">
        <f t="shared" si="8"/>
        <v>0.7</v>
      </c>
      <c r="H208" s="78">
        <v>0.9</v>
      </c>
    </row>
    <row r="209" spans="1:9" x14ac:dyDescent="0.25">
      <c r="C209" s="83" t="s">
        <v>120</v>
      </c>
      <c r="D209" s="119">
        <f t="shared" si="8"/>
        <v>0.7</v>
      </c>
      <c r="E209" s="119">
        <f t="shared" si="8"/>
        <v>1.036</v>
      </c>
      <c r="F209" s="119">
        <f t="shared" si="8"/>
        <v>0.7</v>
      </c>
      <c r="G209" s="119">
        <f t="shared" si="8"/>
        <v>0.7</v>
      </c>
      <c r="H209" s="78">
        <v>0.9</v>
      </c>
    </row>
    <row r="210" spans="1:9" x14ac:dyDescent="0.25">
      <c r="C210" s="83" t="s">
        <v>121</v>
      </c>
      <c r="D210" s="119">
        <f t="shared" si="8"/>
        <v>0.7</v>
      </c>
      <c r="E210" s="119">
        <f t="shared" si="8"/>
        <v>1.9879999999999998</v>
      </c>
      <c r="F210" s="119">
        <f t="shared" si="8"/>
        <v>0.7</v>
      </c>
      <c r="G210" s="119">
        <f t="shared" si="8"/>
        <v>0.7</v>
      </c>
      <c r="H210" s="78">
        <v>0.9</v>
      </c>
    </row>
    <row r="211" spans="1:9" x14ac:dyDescent="0.25">
      <c r="C211" s="83" t="s">
        <v>122</v>
      </c>
      <c r="D211" s="119">
        <f t="shared" si="8"/>
        <v>0.7</v>
      </c>
      <c r="E211" s="119">
        <f t="shared" si="8"/>
        <v>10.08</v>
      </c>
      <c r="F211" s="119">
        <f t="shared" si="8"/>
        <v>2.5829999999999997</v>
      </c>
      <c r="G211" s="119">
        <f t="shared" si="8"/>
        <v>2.5829999999999997</v>
      </c>
      <c r="H211" s="78">
        <v>0.9</v>
      </c>
    </row>
    <row r="213" spans="1:9" ht="13" customHeight="1" x14ac:dyDescent="0.3">
      <c r="A213" s="60" t="s">
        <v>281</v>
      </c>
      <c r="B213" s="70"/>
      <c r="C213" s="70"/>
      <c r="D213" s="70"/>
      <c r="E213" s="70"/>
      <c r="F213" s="70"/>
      <c r="G213" s="70"/>
      <c r="H213" s="70"/>
    </row>
    <row r="214" spans="1:9" ht="26" customHeight="1" x14ac:dyDescent="0.3">
      <c r="A214" s="78" t="s">
        <v>81</v>
      </c>
      <c r="B214" s="82" t="s">
        <v>122</v>
      </c>
      <c r="C214" s="80" t="s">
        <v>280</v>
      </c>
      <c r="D214" s="62" t="s">
        <v>67</v>
      </c>
      <c r="E214" s="62" t="s">
        <v>77</v>
      </c>
      <c r="F214" s="62" t="s">
        <v>78</v>
      </c>
      <c r="G214" s="62" t="s">
        <v>79</v>
      </c>
      <c r="H214" s="81" t="s">
        <v>80</v>
      </c>
    </row>
    <row r="215" spans="1:9" ht="13" customHeight="1" x14ac:dyDescent="0.3">
      <c r="A215" s="57"/>
      <c r="C215" s="83" t="s">
        <v>119</v>
      </c>
      <c r="D215" s="119">
        <f t="shared" ref="D215:G218" si="9">D105*0.7</f>
        <v>0.7</v>
      </c>
      <c r="E215" s="119">
        <f t="shared" si="9"/>
        <v>0.7</v>
      </c>
      <c r="F215" s="119">
        <f t="shared" si="9"/>
        <v>0.7</v>
      </c>
      <c r="G215" s="119">
        <f t="shared" si="9"/>
        <v>0.7</v>
      </c>
      <c r="H215" s="78">
        <v>0.9</v>
      </c>
    </row>
    <row r="216" spans="1:9" x14ac:dyDescent="0.25">
      <c r="C216" s="83" t="s">
        <v>120</v>
      </c>
      <c r="D216" s="119">
        <f t="shared" si="9"/>
        <v>0.8819999999999999</v>
      </c>
      <c r="E216" s="119">
        <f t="shared" si="9"/>
        <v>0.8819999999999999</v>
      </c>
      <c r="F216" s="119">
        <f t="shared" si="9"/>
        <v>0.7</v>
      </c>
      <c r="G216" s="119">
        <f t="shared" si="9"/>
        <v>0.7</v>
      </c>
      <c r="H216" s="78">
        <v>0.9</v>
      </c>
    </row>
    <row r="217" spans="1:9" x14ac:dyDescent="0.25">
      <c r="C217" s="83" t="s">
        <v>121</v>
      </c>
      <c r="D217" s="119">
        <f t="shared" si="9"/>
        <v>1.1759999999999999</v>
      </c>
      <c r="E217" s="119">
        <f t="shared" si="9"/>
        <v>1.1759999999999999</v>
      </c>
      <c r="F217" s="119">
        <f t="shared" si="9"/>
        <v>0.7</v>
      </c>
      <c r="G217" s="119">
        <f t="shared" si="9"/>
        <v>0.7</v>
      </c>
      <c r="H217" s="78">
        <v>0.9</v>
      </c>
    </row>
    <row r="218" spans="1:9" x14ac:dyDescent="0.25">
      <c r="C218" s="83" t="s">
        <v>122</v>
      </c>
      <c r="D218" s="119">
        <f t="shared" si="9"/>
        <v>1.8549999999999998</v>
      </c>
      <c r="E218" s="119">
        <f t="shared" si="9"/>
        <v>1.8549999999999998</v>
      </c>
      <c r="F218" s="119">
        <f t="shared" si="9"/>
        <v>1.4489999999999998</v>
      </c>
      <c r="G218" s="119">
        <f t="shared" si="9"/>
        <v>1.4489999999999998</v>
      </c>
      <c r="H218" s="78">
        <v>0.9</v>
      </c>
    </row>
    <row r="220" spans="1:9" s="92" customFormat="1" ht="13" customHeight="1" x14ac:dyDescent="0.3">
      <c r="A220" s="91" t="s">
        <v>239</v>
      </c>
      <c r="H220" s="91"/>
    </row>
    <row r="221" spans="1:9" ht="13" customHeight="1" x14ac:dyDescent="0.3">
      <c r="A221" s="60" t="s">
        <v>264</v>
      </c>
      <c r="B221" s="70"/>
      <c r="C221" s="70"/>
      <c r="D221" s="70"/>
      <c r="E221" s="70"/>
      <c r="F221" s="70"/>
      <c r="G221" s="70"/>
      <c r="H221" s="70"/>
      <c r="I221" s="70"/>
    </row>
    <row r="222" spans="1:9" ht="13" customHeight="1" x14ac:dyDescent="0.3">
      <c r="A222" s="78" t="s">
        <v>225</v>
      </c>
      <c r="B222" s="76" t="s">
        <v>265</v>
      </c>
      <c r="C222" s="76" t="s">
        <v>266</v>
      </c>
      <c r="D222" s="62" t="s">
        <v>67</v>
      </c>
      <c r="E222" s="62" t="s">
        <v>77</v>
      </c>
      <c r="F222" s="62" t="s">
        <v>78</v>
      </c>
      <c r="G222" s="62" t="s">
        <v>79</v>
      </c>
      <c r="H222" s="62" t="s">
        <v>80</v>
      </c>
      <c r="I222" s="77"/>
    </row>
    <row r="223" spans="1:9" ht="13" customHeight="1" x14ac:dyDescent="0.3">
      <c r="A223" s="57"/>
      <c r="B223" s="67" t="s">
        <v>81</v>
      </c>
      <c r="C223" s="83" t="s">
        <v>267</v>
      </c>
      <c r="D223" s="119">
        <f t="shared" ref="D223:H232" si="10">D3*1.2</f>
        <v>1.2</v>
      </c>
      <c r="E223" s="119">
        <f t="shared" si="10"/>
        <v>1.2</v>
      </c>
      <c r="F223" s="119">
        <f t="shared" si="10"/>
        <v>1.2</v>
      </c>
      <c r="G223" s="119">
        <f t="shared" si="10"/>
        <v>1.2</v>
      </c>
      <c r="H223" s="119">
        <f t="shared" si="10"/>
        <v>1.2</v>
      </c>
      <c r="I223" s="78"/>
    </row>
    <row r="224" spans="1:9" x14ac:dyDescent="0.25">
      <c r="C224" s="83" t="s">
        <v>268</v>
      </c>
      <c r="D224" s="119">
        <f t="shared" si="10"/>
        <v>1.2</v>
      </c>
      <c r="E224" s="119">
        <f t="shared" si="10"/>
        <v>2.004</v>
      </c>
      <c r="F224" s="119">
        <f t="shared" si="10"/>
        <v>2.004</v>
      </c>
      <c r="G224" s="119">
        <f t="shared" si="10"/>
        <v>2.004</v>
      </c>
      <c r="H224" s="119">
        <f t="shared" si="10"/>
        <v>2.004</v>
      </c>
      <c r="I224" s="78"/>
    </row>
    <row r="225" spans="2:9" x14ac:dyDescent="0.25">
      <c r="C225" s="83" t="s">
        <v>269</v>
      </c>
      <c r="D225" s="119">
        <f t="shared" si="10"/>
        <v>1.2</v>
      </c>
      <c r="E225" s="119">
        <f t="shared" si="10"/>
        <v>2.8559999999999999</v>
      </c>
      <c r="F225" s="119">
        <f t="shared" si="10"/>
        <v>2.8559999999999999</v>
      </c>
      <c r="G225" s="119">
        <f t="shared" si="10"/>
        <v>2.8559999999999999</v>
      </c>
      <c r="H225" s="119">
        <f t="shared" si="10"/>
        <v>2.8559999999999999</v>
      </c>
      <c r="I225" s="78"/>
    </row>
    <row r="226" spans="2:9" x14ac:dyDescent="0.25">
      <c r="C226" s="83" t="s">
        <v>270</v>
      </c>
      <c r="D226" s="119">
        <f t="shared" si="10"/>
        <v>1.2</v>
      </c>
      <c r="E226" s="119">
        <f t="shared" si="10"/>
        <v>7.5960000000000001</v>
      </c>
      <c r="F226" s="119">
        <f t="shared" si="10"/>
        <v>7.5960000000000001</v>
      </c>
      <c r="G226" s="119">
        <f t="shared" si="10"/>
        <v>7.5960000000000001</v>
      </c>
      <c r="H226" s="119">
        <f t="shared" si="10"/>
        <v>7.5960000000000001</v>
      </c>
      <c r="I226" s="78"/>
    </row>
    <row r="227" spans="2:9" x14ac:dyDescent="0.25">
      <c r="B227" s="67" t="s">
        <v>82</v>
      </c>
      <c r="C227" s="83" t="s">
        <v>267</v>
      </c>
      <c r="D227" s="119">
        <f t="shared" si="10"/>
        <v>1.2</v>
      </c>
      <c r="E227" s="119">
        <f t="shared" si="10"/>
        <v>1.2</v>
      </c>
      <c r="F227" s="119">
        <f t="shared" si="10"/>
        <v>1.2</v>
      </c>
      <c r="G227" s="119">
        <f t="shared" si="10"/>
        <v>1.2</v>
      </c>
      <c r="H227" s="119">
        <f t="shared" si="10"/>
        <v>1.2</v>
      </c>
      <c r="I227" s="78"/>
    </row>
    <row r="228" spans="2:9" x14ac:dyDescent="0.25">
      <c r="C228" s="83" t="s">
        <v>268</v>
      </c>
      <c r="D228" s="119">
        <f t="shared" si="10"/>
        <v>1.2</v>
      </c>
      <c r="E228" s="119">
        <f t="shared" si="10"/>
        <v>1.8599999999999999</v>
      </c>
      <c r="F228" s="119">
        <f t="shared" si="10"/>
        <v>1.8599999999999999</v>
      </c>
      <c r="G228" s="119">
        <f t="shared" si="10"/>
        <v>1.8599999999999999</v>
      </c>
      <c r="H228" s="119">
        <f t="shared" si="10"/>
        <v>1.8599999999999999</v>
      </c>
      <c r="I228" s="78"/>
    </row>
    <row r="229" spans="2:9" x14ac:dyDescent="0.25">
      <c r="C229" s="83" t="s">
        <v>269</v>
      </c>
      <c r="D229" s="119">
        <f t="shared" si="10"/>
        <v>1.2</v>
      </c>
      <c r="E229" s="119">
        <f t="shared" si="10"/>
        <v>2.6160000000000001</v>
      </c>
      <c r="F229" s="119">
        <f t="shared" si="10"/>
        <v>2.6160000000000001</v>
      </c>
      <c r="G229" s="119">
        <f t="shared" si="10"/>
        <v>2.6160000000000001</v>
      </c>
      <c r="H229" s="119">
        <f t="shared" si="10"/>
        <v>2.6160000000000001</v>
      </c>
      <c r="I229" s="78"/>
    </row>
    <row r="230" spans="2:9" x14ac:dyDescent="0.25">
      <c r="C230" s="83" t="s">
        <v>270</v>
      </c>
      <c r="D230" s="119">
        <f t="shared" si="10"/>
        <v>1.2</v>
      </c>
      <c r="E230" s="119">
        <f t="shared" si="10"/>
        <v>7.6679999999999993</v>
      </c>
      <c r="F230" s="119">
        <f t="shared" si="10"/>
        <v>7.6679999999999993</v>
      </c>
      <c r="G230" s="119">
        <f t="shared" si="10"/>
        <v>7.6679999999999993</v>
      </c>
      <c r="H230" s="119">
        <f t="shared" si="10"/>
        <v>7.6679999999999993</v>
      </c>
      <c r="I230" s="78"/>
    </row>
    <row r="231" spans="2:9" x14ac:dyDescent="0.25">
      <c r="B231" s="67" t="s">
        <v>84</v>
      </c>
      <c r="C231" s="83" t="s">
        <v>267</v>
      </c>
      <c r="D231" s="119">
        <f t="shared" si="10"/>
        <v>1.2</v>
      </c>
      <c r="E231" s="119">
        <f t="shared" si="10"/>
        <v>1.2</v>
      </c>
      <c r="F231" s="119">
        <f t="shared" si="10"/>
        <v>1.2</v>
      </c>
      <c r="G231" s="119">
        <f t="shared" si="10"/>
        <v>1.2</v>
      </c>
      <c r="H231" s="119">
        <f t="shared" si="10"/>
        <v>1.2</v>
      </c>
      <c r="I231" s="78"/>
    </row>
    <row r="232" spans="2:9" x14ac:dyDescent="0.25">
      <c r="C232" s="83" t="s">
        <v>268</v>
      </c>
      <c r="D232" s="119">
        <f t="shared" si="10"/>
        <v>1.2</v>
      </c>
      <c r="E232" s="119">
        <f t="shared" si="10"/>
        <v>1.2</v>
      </c>
      <c r="F232" s="119">
        <f t="shared" si="10"/>
        <v>1.2</v>
      </c>
      <c r="G232" s="119">
        <f t="shared" si="10"/>
        <v>1.2</v>
      </c>
      <c r="H232" s="119">
        <f t="shared" si="10"/>
        <v>1.2</v>
      </c>
      <c r="I232" s="78"/>
    </row>
    <row r="233" spans="2:9" x14ac:dyDescent="0.25">
      <c r="C233" s="83" t="s">
        <v>269</v>
      </c>
      <c r="D233" s="119">
        <f t="shared" ref="D233:H242" si="11">D13*1.2</f>
        <v>1.2</v>
      </c>
      <c r="E233" s="119">
        <f t="shared" si="11"/>
        <v>3.3479999999999999</v>
      </c>
      <c r="F233" s="119">
        <f t="shared" si="11"/>
        <v>3.3479999999999999</v>
      </c>
      <c r="G233" s="119">
        <f t="shared" si="11"/>
        <v>3.3479999999999999</v>
      </c>
      <c r="H233" s="119">
        <f t="shared" si="11"/>
        <v>3.3479999999999999</v>
      </c>
      <c r="I233" s="78"/>
    </row>
    <row r="234" spans="2:9" x14ac:dyDescent="0.25">
      <c r="C234" s="83" t="s">
        <v>270</v>
      </c>
      <c r="D234" s="119">
        <f t="shared" si="11"/>
        <v>1.2</v>
      </c>
      <c r="E234" s="119">
        <f t="shared" si="11"/>
        <v>7.2119999999999997</v>
      </c>
      <c r="F234" s="119">
        <f t="shared" si="11"/>
        <v>7.2119999999999997</v>
      </c>
      <c r="G234" s="119">
        <f t="shared" si="11"/>
        <v>7.2119999999999997</v>
      </c>
      <c r="H234" s="119">
        <f t="shared" si="11"/>
        <v>7.2119999999999997</v>
      </c>
      <c r="I234" s="78"/>
    </row>
    <row r="235" spans="2:9" x14ac:dyDescent="0.25">
      <c r="B235" s="67" t="s">
        <v>85</v>
      </c>
      <c r="C235" s="83" t="s">
        <v>267</v>
      </c>
      <c r="D235" s="119">
        <f t="shared" si="11"/>
        <v>1.2</v>
      </c>
      <c r="E235" s="119">
        <f t="shared" si="11"/>
        <v>1.2</v>
      </c>
      <c r="F235" s="119">
        <f t="shared" si="11"/>
        <v>1.2</v>
      </c>
      <c r="G235" s="119">
        <f t="shared" si="11"/>
        <v>1.2</v>
      </c>
      <c r="H235" s="119">
        <f t="shared" si="11"/>
        <v>1.2</v>
      </c>
      <c r="I235" s="78"/>
    </row>
    <row r="236" spans="2:9" x14ac:dyDescent="0.25">
      <c r="C236" s="83" t="s">
        <v>268</v>
      </c>
      <c r="D236" s="119">
        <f t="shared" si="11"/>
        <v>1.2</v>
      </c>
      <c r="E236" s="119">
        <f t="shared" si="11"/>
        <v>1.2</v>
      </c>
      <c r="F236" s="119">
        <f t="shared" si="11"/>
        <v>1.2</v>
      </c>
      <c r="G236" s="119">
        <f t="shared" si="11"/>
        <v>1.2</v>
      </c>
      <c r="H236" s="119">
        <f t="shared" si="11"/>
        <v>1.2</v>
      </c>
      <c r="I236" s="78"/>
    </row>
    <row r="237" spans="2:9" x14ac:dyDescent="0.25">
      <c r="C237" s="83" t="s">
        <v>269</v>
      </c>
      <c r="D237" s="119">
        <f t="shared" si="11"/>
        <v>1.2</v>
      </c>
      <c r="E237" s="119">
        <f t="shared" si="11"/>
        <v>1.2</v>
      </c>
      <c r="F237" s="119">
        <f t="shared" si="11"/>
        <v>1.2</v>
      </c>
      <c r="G237" s="119">
        <f t="shared" si="11"/>
        <v>1.2</v>
      </c>
      <c r="H237" s="119">
        <f t="shared" si="11"/>
        <v>1.2</v>
      </c>
      <c r="I237" s="78"/>
    </row>
    <row r="238" spans="2:9" x14ac:dyDescent="0.25">
      <c r="C238" s="83" t="s">
        <v>270</v>
      </c>
      <c r="D238" s="119">
        <f t="shared" si="11"/>
        <v>1.2</v>
      </c>
      <c r="E238" s="119">
        <f t="shared" si="11"/>
        <v>1.2</v>
      </c>
      <c r="F238" s="119">
        <f t="shared" si="11"/>
        <v>1.2</v>
      </c>
      <c r="G238" s="119">
        <f t="shared" si="11"/>
        <v>1.2</v>
      </c>
      <c r="H238" s="119">
        <f t="shared" si="11"/>
        <v>1.2</v>
      </c>
      <c r="I238" s="78"/>
    </row>
    <row r="239" spans="2:9" x14ac:dyDescent="0.25">
      <c r="B239" s="67" t="s">
        <v>83</v>
      </c>
      <c r="C239" s="83" t="s">
        <v>267</v>
      </c>
      <c r="D239" s="119">
        <f t="shared" si="11"/>
        <v>1.2</v>
      </c>
      <c r="E239" s="119">
        <f t="shared" si="11"/>
        <v>1.2</v>
      </c>
      <c r="F239" s="119">
        <f t="shared" si="11"/>
        <v>1.2</v>
      </c>
      <c r="G239" s="119">
        <f t="shared" si="11"/>
        <v>1.2</v>
      </c>
      <c r="H239" s="119">
        <f t="shared" si="11"/>
        <v>1.2</v>
      </c>
      <c r="I239" s="78"/>
    </row>
    <row r="240" spans="2:9" x14ac:dyDescent="0.25">
      <c r="C240" s="83" t="s">
        <v>268</v>
      </c>
      <c r="D240" s="119">
        <f t="shared" si="11"/>
        <v>1.2</v>
      </c>
      <c r="E240" s="119">
        <f t="shared" si="11"/>
        <v>1.2</v>
      </c>
      <c r="F240" s="119">
        <f t="shared" si="11"/>
        <v>1.2</v>
      </c>
      <c r="G240" s="119">
        <f t="shared" si="11"/>
        <v>1.2</v>
      </c>
      <c r="H240" s="119">
        <f t="shared" si="11"/>
        <v>1.2</v>
      </c>
      <c r="I240" s="78"/>
    </row>
    <row r="241" spans="1:9" x14ac:dyDescent="0.25">
      <c r="C241" s="83" t="s">
        <v>269</v>
      </c>
      <c r="D241" s="119">
        <f t="shared" si="11"/>
        <v>1.2</v>
      </c>
      <c r="E241" s="119">
        <f t="shared" si="11"/>
        <v>2.2320000000000002</v>
      </c>
      <c r="F241" s="119">
        <f t="shared" si="11"/>
        <v>2.2320000000000002</v>
      </c>
      <c r="G241" s="119">
        <f t="shared" si="11"/>
        <v>2.2320000000000002</v>
      </c>
      <c r="H241" s="119">
        <f t="shared" si="11"/>
        <v>2.2320000000000002</v>
      </c>
      <c r="I241" s="78"/>
    </row>
    <row r="242" spans="1:9" x14ac:dyDescent="0.25">
      <c r="C242" s="83" t="s">
        <v>270</v>
      </c>
      <c r="D242" s="119">
        <f t="shared" si="11"/>
        <v>1.2</v>
      </c>
      <c r="E242" s="119">
        <f t="shared" si="11"/>
        <v>3.6119999999999997</v>
      </c>
      <c r="F242" s="119">
        <f t="shared" si="11"/>
        <v>3.6119999999999997</v>
      </c>
      <c r="G242" s="119">
        <f t="shared" si="11"/>
        <v>3.6119999999999997</v>
      </c>
      <c r="H242" s="119">
        <f t="shared" si="11"/>
        <v>3.6119999999999997</v>
      </c>
      <c r="I242" s="78"/>
    </row>
    <row r="243" spans="1:9" x14ac:dyDescent="0.25">
      <c r="B243" s="67" t="s">
        <v>89</v>
      </c>
      <c r="C243" s="83" t="s">
        <v>267</v>
      </c>
      <c r="D243" s="119">
        <f t="shared" ref="D243:H252" si="12">D23*1.2</f>
        <v>1.2</v>
      </c>
      <c r="E243" s="119">
        <f t="shared" si="12"/>
        <v>1.2</v>
      </c>
      <c r="F243" s="119">
        <f t="shared" si="12"/>
        <v>1.2</v>
      </c>
      <c r="G243" s="119">
        <f t="shared" si="12"/>
        <v>1.2</v>
      </c>
      <c r="H243" s="119">
        <f t="shared" si="12"/>
        <v>1.2</v>
      </c>
      <c r="I243" s="78"/>
    </row>
    <row r="244" spans="1:9" x14ac:dyDescent="0.25">
      <c r="C244" s="83" t="s">
        <v>268</v>
      </c>
      <c r="D244" s="119">
        <f t="shared" si="12"/>
        <v>1.2</v>
      </c>
      <c r="E244" s="119">
        <f t="shared" si="12"/>
        <v>1.2</v>
      </c>
      <c r="F244" s="119">
        <f t="shared" si="12"/>
        <v>1.2</v>
      </c>
      <c r="G244" s="119">
        <f t="shared" si="12"/>
        <v>1.2</v>
      </c>
      <c r="H244" s="119">
        <f t="shared" si="12"/>
        <v>1.2</v>
      </c>
      <c r="I244" s="78"/>
    </row>
    <row r="245" spans="1:9" x14ac:dyDescent="0.25">
      <c r="C245" s="83" t="s">
        <v>269</v>
      </c>
      <c r="D245" s="119">
        <f t="shared" si="12"/>
        <v>1.2</v>
      </c>
      <c r="E245" s="119">
        <f t="shared" si="12"/>
        <v>2.2320000000000002</v>
      </c>
      <c r="F245" s="119">
        <f t="shared" si="12"/>
        <v>2.2320000000000002</v>
      </c>
      <c r="G245" s="119">
        <f t="shared" si="12"/>
        <v>2.2320000000000002</v>
      </c>
      <c r="H245" s="119">
        <f t="shared" si="12"/>
        <v>2.2320000000000002</v>
      </c>
      <c r="I245" s="78"/>
    </row>
    <row r="246" spans="1:9" x14ac:dyDescent="0.25">
      <c r="C246" s="83" t="s">
        <v>270</v>
      </c>
      <c r="D246" s="119">
        <f t="shared" si="12"/>
        <v>1.2</v>
      </c>
      <c r="E246" s="119">
        <f t="shared" si="12"/>
        <v>3.6119999999999997</v>
      </c>
      <c r="F246" s="119">
        <f t="shared" si="12"/>
        <v>3.6119999999999997</v>
      </c>
      <c r="G246" s="119">
        <f t="shared" si="12"/>
        <v>3.6119999999999997</v>
      </c>
      <c r="H246" s="119">
        <f t="shared" si="12"/>
        <v>3.6119999999999997</v>
      </c>
      <c r="I246" s="78"/>
    </row>
    <row r="248" spans="1:9" ht="13" customHeight="1" x14ac:dyDescent="0.3">
      <c r="A248" s="60" t="s">
        <v>271</v>
      </c>
      <c r="B248" s="70"/>
      <c r="C248" s="70"/>
      <c r="D248" s="70"/>
      <c r="E248" s="70"/>
      <c r="F248" s="70"/>
      <c r="G248" s="70"/>
      <c r="H248" s="70"/>
      <c r="I248" s="70"/>
    </row>
    <row r="249" spans="1:9" ht="13" customHeight="1" x14ac:dyDescent="0.3">
      <c r="A249" s="78" t="s">
        <v>272</v>
      </c>
      <c r="B249" s="57" t="s">
        <v>265</v>
      </c>
      <c r="C249" s="57" t="s">
        <v>273</v>
      </c>
      <c r="D249" s="62" t="s">
        <v>67</v>
      </c>
      <c r="E249" s="62" t="s">
        <v>77</v>
      </c>
      <c r="F249" s="62" t="s">
        <v>78</v>
      </c>
      <c r="G249" s="62" t="s">
        <v>79</v>
      </c>
      <c r="H249" s="62" t="s">
        <v>80</v>
      </c>
      <c r="I249" s="77"/>
    </row>
    <row r="250" spans="1:9" ht="13" customHeight="1" x14ac:dyDescent="0.3">
      <c r="A250" s="57"/>
      <c r="B250" s="67" t="s">
        <v>81</v>
      </c>
      <c r="C250" s="83" t="s">
        <v>267</v>
      </c>
      <c r="D250" s="119">
        <f t="shared" ref="D250:H259" si="13">D30*1.2</f>
        <v>1.2</v>
      </c>
      <c r="E250" s="119">
        <f t="shared" si="13"/>
        <v>1.2</v>
      </c>
      <c r="F250" s="119">
        <f t="shared" si="13"/>
        <v>1.2</v>
      </c>
      <c r="G250" s="119">
        <f t="shared" si="13"/>
        <v>1.2</v>
      </c>
      <c r="H250" s="119">
        <f t="shared" si="13"/>
        <v>1.2</v>
      </c>
      <c r="I250" s="79"/>
    </row>
    <row r="251" spans="1:9" x14ac:dyDescent="0.25">
      <c r="C251" s="83" t="s">
        <v>268</v>
      </c>
      <c r="D251" s="119">
        <f t="shared" si="13"/>
        <v>1.2</v>
      </c>
      <c r="E251" s="119">
        <f t="shared" si="13"/>
        <v>1.92</v>
      </c>
      <c r="F251" s="119">
        <f t="shared" si="13"/>
        <v>1.92</v>
      </c>
      <c r="G251" s="119">
        <f t="shared" si="13"/>
        <v>1.92</v>
      </c>
      <c r="H251" s="119">
        <f t="shared" si="13"/>
        <v>1.92</v>
      </c>
      <c r="I251" s="78"/>
    </row>
    <row r="252" spans="1:9" x14ac:dyDescent="0.25">
      <c r="C252" s="83" t="s">
        <v>204</v>
      </c>
      <c r="D252" s="119">
        <f t="shared" si="13"/>
        <v>1.2</v>
      </c>
      <c r="E252" s="119">
        <f t="shared" si="13"/>
        <v>4.0919999999999996</v>
      </c>
      <c r="F252" s="119">
        <f t="shared" si="13"/>
        <v>4.0919999999999996</v>
      </c>
      <c r="G252" s="119">
        <f t="shared" si="13"/>
        <v>4.0919999999999996</v>
      </c>
      <c r="H252" s="119">
        <f t="shared" si="13"/>
        <v>4.0919999999999996</v>
      </c>
      <c r="I252" s="78"/>
    </row>
    <row r="253" spans="1:9" x14ac:dyDescent="0.25">
      <c r="C253" s="83" t="s">
        <v>274</v>
      </c>
      <c r="D253" s="119">
        <f t="shared" si="13"/>
        <v>1.2</v>
      </c>
      <c r="E253" s="119">
        <f t="shared" si="13"/>
        <v>14.795999999999999</v>
      </c>
      <c r="F253" s="119">
        <f t="shared" si="13"/>
        <v>14.795999999999999</v>
      </c>
      <c r="G253" s="119">
        <f t="shared" si="13"/>
        <v>14.795999999999999</v>
      </c>
      <c r="H253" s="119">
        <f t="shared" si="13"/>
        <v>14.795999999999999</v>
      </c>
      <c r="I253" s="78"/>
    </row>
    <row r="254" spans="1:9" x14ac:dyDescent="0.25">
      <c r="B254" s="67" t="s">
        <v>82</v>
      </c>
      <c r="C254" s="83" t="s">
        <v>267</v>
      </c>
      <c r="D254" s="119">
        <f t="shared" si="13"/>
        <v>1.2</v>
      </c>
      <c r="E254" s="119">
        <f t="shared" si="13"/>
        <v>1.2</v>
      </c>
      <c r="F254" s="119">
        <f t="shared" si="13"/>
        <v>1.2</v>
      </c>
      <c r="G254" s="119">
        <f t="shared" si="13"/>
        <v>1.2</v>
      </c>
      <c r="H254" s="119">
        <f t="shared" si="13"/>
        <v>1.2</v>
      </c>
      <c r="I254" s="78"/>
    </row>
    <row r="255" spans="1:9" x14ac:dyDescent="0.25">
      <c r="C255" s="83" t="s">
        <v>268</v>
      </c>
      <c r="D255" s="119">
        <f t="shared" si="13"/>
        <v>1.2</v>
      </c>
      <c r="E255" s="119">
        <f t="shared" si="13"/>
        <v>2.3039999999999998</v>
      </c>
      <c r="F255" s="119">
        <f t="shared" si="13"/>
        <v>2.3039999999999998</v>
      </c>
      <c r="G255" s="119">
        <f t="shared" si="13"/>
        <v>2.3039999999999998</v>
      </c>
      <c r="H255" s="119">
        <f t="shared" si="13"/>
        <v>2.3039999999999998</v>
      </c>
      <c r="I255" s="78"/>
    </row>
    <row r="256" spans="1:9" x14ac:dyDescent="0.25">
      <c r="C256" s="83" t="s">
        <v>204</v>
      </c>
      <c r="D256" s="119">
        <f t="shared" si="13"/>
        <v>1.2</v>
      </c>
      <c r="E256" s="119">
        <f t="shared" si="13"/>
        <v>5.5919999999999996</v>
      </c>
      <c r="F256" s="119">
        <f t="shared" si="13"/>
        <v>5.5919999999999996</v>
      </c>
      <c r="G256" s="119">
        <f t="shared" si="13"/>
        <v>5.5919999999999996</v>
      </c>
      <c r="H256" s="119">
        <f t="shared" si="13"/>
        <v>5.5919999999999996</v>
      </c>
      <c r="I256" s="78"/>
    </row>
    <row r="257" spans="2:9" x14ac:dyDescent="0.25">
      <c r="C257" s="83" t="s">
        <v>274</v>
      </c>
      <c r="D257" s="119">
        <f t="shared" si="13"/>
        <v>1.2</v>
      </c>
      <c r="E257" s="119">
        <f t="shared" si="13"/>
        <v>11.616</v>
      </c>
      <c r="F257" s="119">
        <f t="shared" si="13"/>
        <v>11.616</v>
      </c>
      <c r="G257" s="119">
        <f t="shared" si="13"/>
        <v>11.616</v>
      </c>
      <c r="H257" s="119">
        <f t="shared" si="13"/>
        <v>11.616</v>
      </c>
      <c r="I257" s="78"/>
    </row>
    <row r="258" spans="2:9" x14ac:dyDescent="0.25">
      <c r="B258" s="67" t="s">
        <v>84</v>
      </c>
      <c r="C258" s="83" t="s">
        <v>267</v>
      </c>
      <c r="D258" s="119">
        <f t="shared" si="13"/>
        <v>1.2</v>
      </c>
      <c r="E258" s="119">
        <f t="shared" si="13"/>
        <v>1.2</v>
      </c>
      <c r="F258" s="119">
        <f t="shared" si="13"/>
        <v>1.2</v>
      </c>
      <c r="G258" s="119">
        <f t="shared" si="13"/>
        <v>1.2</v>
      </c>
      <c r="H258" s="119">
        <f t="shared" si="13"/>
        <v>1.2</v>
      </c>
      <c r="I258" s="78"/>
    </row>
    <row r="259" spans="2:9" x14ac:dyDescent="0.25">
      <c r="C259" s="83" t="s">
        <v>268</v>
      </c>
      <c r="D259" s="119">
        <f t="shared" si="13"/>
        <v>1.2</v>
      </c>
      <c r="E259" s="119">
        <f t="shared" si="13"/>
        <v>1.2</v>
      </c>
      <c r="F259" s="119">
        <f t="shared" si="13"/>
        <v>1.2</v>
      </c>
      <c r="G259" s="119">
        <f t="shared" si="13"/>
        <v>1.2</v>
      </c>
      <c r="H259" s="119">
        <f t="shared" si="13"/>
        <v>1.2</v>
      </c>
      <c r="I259" s="78"/>
    </row>
    <row r="260" spans="2:9" x14ac:dyDescent="0.25">
      <c r="C260" s="83" t="s">
        <v>204</v>
      </c>
      <c r="D260" s="119">
        <f t="shared" ref="D260:H269" si="14">D40*1.2</f>
        <v>1.2</v>
      </c>
      <c r="E260" s="119">
        <f t="shared" si="14"/>
        <v>3.0960000000000001</v>
      </c>
      <c r="F260" s="119">
        <f t="shared" si="14"/>
        <v>3.0960000000000001</v>
      </c>
      <c r="G260" s="119">
        <f t="shared" si="14"/>
        <v>3.0960000000000001</v>
      </c>
      <c r="H260" s="119">
        <f t="shared" si="14"/>
        <v>3.0960000000000001</v>
      </c>
      <c r="I260" s="78"/>
    </row>
    <row r="261" spans="2:9" x14ac:dyDescent="0.25">
      <c r="C261" s="83" t="s">
        <v>274</v>
      </c>
      <c r="D261" s="119">
        <f t="shared" si="14"/>
        <v>1.2</v>
      </c>
      <c r="E261" s="119">
        <f t="shared" si="14"/>
        <v>11.556000000000001</v>
      </c>
      <c r="F261" s="119">
        <f t="shared" si="14"/>
        <v>11.556000000000001</v>
      </c>
      <c r="G261" s="119">
        <f t="shared" si="14"/>
        <v>11.556000000000001</v>
      </c>
      <c r="H261" s="119">
        <f t="shared" si="14"/>
        <v>11.556000000000001</v>
      </c>
      <c r="I261" s="78"/>
    </row>
    <row r="262" spans="2:9" x14ac:dyDescent="0.25">
      <c r="B262" s="67" t="s">
        <v>85</v>
      </c>
      <c r="C262" s="83" t="s">
        <v>267</v>
      </c>
      <c r="D262" s="119">
        <f t="shared" si="14"/>
        <v>1.2</v>
      </c>
      <c r="E262" s="119">
        <f t="shared" si="14"/>
        <v>1.2</v>
      </c>
      <c r="F262" s="119">
        <f t="shared" si="14"/>
        <v>1.2</v>
      </c>
      <c r="G262" s="119">
        <f t="shared" si="14"/>
        <v>1.2</v>
      </c>
      <c r="H262" s="119">
        <f t="shared" si="14"/>
        <v>1.2</v>
      </c>
      <c r="I262" s="78"/>
    </row>
    <row r="263" spans="2:9" x14ac:dyDescent="0.25">
      <c r="C263" s="83" t="s">
        <v>268</v>
      </c>
      <c r="D263" s="119">
        <f t="shared" si="14"/>
        <v>1.2</v>
      </c>
      <c r="E263" s="119">
        <f t="shared" si="14"/>
        <v>1.2</v>
      </c>
      <c r="F263" s="119">
        <f t="shared" si="14"/>
        <v>1.2</v>
      </c>
      <c r="G263" s="119">
        <f t="shared" si="14"/>
        <v>1.2</v>
      </c>
      <c r="H263" s="119">
        <f t="shared" si="14"/>
        <v>1.2</v>
      </c>
      <c r="I263" s="78"/>
    </row>
    <row r="264" spans="2:9" x14ac:dyDescent="0.25">
      <c r="C264" s="83" t="s">
        <v>204</v>
      </c>
      <c r="D264" s="119">
        <f t="shared" si="14"/>
        <v>1.2</v>
      </c>
      <c r="E264" s="119">
        <f t="shared" si="14"/>
        <v>1.2</v>
      </c>
      <c r="F264" s="119">
        <f t="shared" si="14"/>
        <v>1.2</v>
      </c>
      <c r="G264" s="119">
        <f t="shared" si="14"/>
        <v>1.2</v>
      </c>
      <c r="H264" s="119">
        <f t="shared" si="14"/>
        <v>1.2</v>
      </c>
      <c r="I264" s="78"/>
    </row>
    <row r="265" spans="2:9" x14ac:dyDescent="0.25">
      <c r="C265" s="83" t="s">
        <v>274</v>
      </c>
      <c r="D265" s="119">
        <f t="shared" si="14"/>
        <v>1.2</v>
      </c>
      <c r="E265" s="119">
        <f t="shared" si="14"/>
        <v>1.2</v>
      </c>
      <c r="F265" s="119">
        <f t="shared" si="14"/>
        <v>1.2</v>
      </c>
      <c r="G265" s="119">
        <f t="shared" si="14"/>
        <v>1.2</v>
      </c>
      <c r="H265" s="119">
        <f t="shared" si="14"/>
        <v>1.2</v>
      </c>
      <c r="I265" s="78"/>
    </row>
    <row r="266" spans="2:9" x14ac:dyDescent="0.25">
      <c r="B266" s="67" t="s">
        <v>83</v>
      </c>
      <c r="C266" s="83" t="s">
        <v>267</v>
      </c>
      <c r="D266" s="119">
        <f t="shared" si="14"/>
        <v>1.2</v>
      </c>
      <c r="E266" s="119">
        <f t="shared" si="14"/>
        <v>1.2</v>
      </c>
      <c r="F266" s="119">
        <f t="shared" si="14"/>
        <v>1.2</v>
      </c>
      <c r="G266" s="119">
        <f t="shared" si="14"/>
        <v>1.2</v>
      </c>
      <c r="H266" s="119">
        <f t="shared" si="14"/>
        <v>1.2</v>
      </c>
      <c r="I266" s="78"/>
    </row>
    <row r="267" spans="2:9" x14ac:dyDescent="0.25">
      <c r="C267" s="83" t="s">
        <v>268</v>
      </c>
      <c r="D267" s="119">
        <f t="shared" si="14"/>
        <v>1.2</v>
      </c>
      <c r="E267" s="119">
        <f t="shared" si="14"/>
        <v>1.9799999999999998</v>
      </c>
      <c r="F267" s="119">
        <f t="shared" si="14"/>
        <v>1.9799999999999998</v>
      </c>
      <c r="G267" s="119">
        <f t="shared" si="14"/>
        <v>1.9799999999999998</v>
      </c>
      <c r="H267" s="119">
        <f t="shared" si="14"/>
        <v>1.9799999999999998</v>
      </c>
      <c r="I267" s="78"/>
    </row>
    <row r="268" spans="2:9" x14ac:dyDescent="0.25">
      <c r="C268" s="83" t="s">
        <v>204</v>
      </c>
      <c r="D268" s="119">
        <f t="shared" si="14"/>
        <v>1.2</v>
      </c>
      <c r="E268" s="119">
        <f t="shared" si="14"/>
        <v>3.2759999999999998</v>
      </c>
      <c r="F268" s="119">
        <f t="shared" si="14"/>
        <v>3.2759999999999998</v>
      </c>
      <c r="G268" s="119">
        <f t="shared" si="14"/>
        <v>3.2759999999999998</v>
      </c>
      <c r="H268" s="119">
        <f t="shared" si="14"/>
        <v>3.2759999999999998</v>
      </c>
      <c r="I268" s="78"/>
    </row>
    <row r="269" spans="2:9" x14ac:dyDescent="0.25">
      <c r="C269" s="83" t="s">
        <v>274</v>
      </c>
      <c r="D269" s="119">
        <f t="shared" si="14"/>
        <v>1.2</v>
      </c>
      <c r="E269" s="119">
        <f t="shared" si="14"/>
        <v>13.452</v>
      </c>
      <c r="F269" s="119">
        <f t="shared" si="14"/>
        <v>13.452</v>
      </c>
      <c r="G269" s="119">
        <f t="shared" si="14"/>
        <v>13.452</v>
      </c>
      <c r="H269" s="119">
        <f t="shared" si="14"/>
        <v>13.452</v>
      </c>
      <c r="I269" s="78"/>
    </row>
    <row r="270" spans="2:9" x14ac:dyDescent="0.25">
      <c r="B270" s="67" t="s">
        <v>89</v>
      </c>
      <c r="C270" s="83" t="s">
        <v>267</v>
      </c>
      <c r="D270" s="119">
        <f t="shared" ref="D270:H279" si="15">D50*1.2</f>
        <v>1.2</v>
      </c>
      <c r="E270" s="119">
        <f t="shared" si="15"/>
        <v>1.2</v>
      </c>
      <c r="F270" s="119">
        <f t="shared" si="15"/>
        <v>1.2</v>
      </c>
      <c r="G270" s="119">
        <f t="shared" si="15"/>
        <v>1.2</v>
      </c>
      <c r="H270" s="119">
        <f t="shared" si="15"/>
        <v>1.2</v>
      </c>
      <c r="I270" s="78"/>
    </row>
    <row r="271" spans="2:9" x14ac:dyDescent="0.25">
      <c r="C271" s="83" t="s">
        <v>268</v>
      </c>
      <c r="D271" s="119">
        <f t="shared" si="15"/>
        <v>1.2</v>
      </c>
      <c r="E271" s="119">
        <f t="shared" si="15"/>
        <v>1.9799999999999998</v>
      </c>
      <c r="F271" s="119">
        <f t="shared" si="15"/>
        <v>1.9799999999999998</v>
      </c>
      <c r="G271" s="119">
        <f t="shared" si="15"/>
        <v>1.9799999999999998</v>
      </c>
      <c r="H271" s="119">
        <f t="shared" si="15"/>
        <v>1.9799999999999998</v>
      </c>
      <c r="I271" s="78"/>
    </row>
    <row r="272" spans="2:9" x14ac:dyDescent="0.25">
      <c r="C272" s="83" t="s">
        <v>204</v>
      </c>
      <c r="D272" s="119">
        <f t="shared" si="15"/>
        <v>1.2</v>
      </c>
      <c r="E272" s="119">
        <f t="shared" si="15"/>
        <v>3.2759999999999998</v>
      </c>
      <c r="F272" s="119">
        <f t="shared" si="15"/>
        <v>3.2759999999999998</v>
      </c>
      <c r="G272" s="119">
        <f t="shared" si="15"/>
        <v>3.2759999999999998</v>
      </c>
      <c r="H272" s="119">
        <f t="shared" si="15"/>
        <v>3.2759999999999998</v>
      </c>
      <c r="I272" s="78"/>
    </row>
    <row r="273" spans="1:9" x14ac:dyDescent="0.25">
      <c r="C273" s="83" t="s">
        <v>274</v>
      </c>
      <c r="D273" s="119">
        <f t="shared" si="15"/>
        <v>1.2</v>
      </c>
      <c r="E273" s="119">
        <f t="shared" si="15"/>
        <v>13.452</v>
      </c>
      <c r="F273" s="119">
        <f t="shared" si="15"/>
        <v>13.452</v>
      </c>
      <c r="G273" s="119">
        <f t="shared" si="15"/>
        <v>13.452</v>
      </c>
      <c r="H273" s="119">
        <f t="shared" si="15"/>
        <v>13.452</v>
      </c>
      <c r="I273" s="78"/>
    </row>
    <row r="274" spans="1:9" x14ac:dyDescent="0.25">
      <c r="C274" s="83"/>
      <c r="D274" s="83"/>
    </row>
    <row r="275" spans="1:9" ht="13" customHeight="1" x14ac:dyDescent="0.3">
      <c r="A275" s="60" t="s">
        <v>275</v>
      </c>
      <c r="B275" s="70"/>
      <c r="C275" s="70"/>
      <c r="D275" s="70"/>
      <c r="E275" s="70"/>
      <c r="F275" s="70"/>
      <c r="G275" s="70"/>
      <c r="H275" s="70"/>
      <c r="I275" s="70"/>
    </row>
    <row r="276" spans="1:9" ht="13" customHeight="1" x14ac:dyDescent="0.3">
      <c r="A276" s="78" t="s">
        <v>111</v>
      </c>
      <c r="B276" s="57" t="s">
        <v>265</v>
      </c>
      <c r="C276" s="80" t="s">
        <v>276</v>
      </c>
      <c r="D276" s="62" t="s">
        <v>112</v>
      </c>
      <c r="E276" s="62" t="s">
        <v>113</v>
      </c>
      <c r="F276" s="62" t="s">
        <v>114</v>
      </c>
      <c r="G276" s="62" t="s">
        <v>115</v>
      </c>
      <c r="H276" s="77"/>
    </row>
    <row r="277" spans="1:9" ht="13" customHeight="1" x14ac:dyDescent="0.3">
      <c r="A277" s="57"/>
      <c r="B277" s="67" t="s">
        <v>91</v>
      </c>
      <c r="C277" s="83" t="s">
        <v>277</v>
      </c>
      <c r="D277" s="119">
        <f t="shared" ref="D277:G282" si="16">D57*1.2</f>
        <v>1.2</v>
      </c>
      <c r="E277" s="119">
        <f t="shared" si="16"/>
        <v>1.2</v>
      </c>
      <c r="F277" s="119">
        <f t="shared" si="16"/>
        <v>1.2</v>
      </c>
      <c r="G277" s="119">
        <f t="shared" si="16"/>
        <v>1.2</v>
      </c>
      <c r="H277" s="78"/>
    </row>
    <row r="278" spans="1:9" x14ac:dyDescent="0.25">
      <c r="C278" s="83" t="s">
        <v>278</v>
      </c>
      <c r="D278" s="119">
        <f t="shared" si="16"/>
        <v>12.81</v>
      </c>
      <c r="E278" s="119">
        <f t="shared" si="16"/>
        <v>12.81</v>
      </c>
      <c r="F278" s="119">
        <f t="shared" si="16"/>
        <v>12.81</v>
      </c>
      <c r="G278" s="119">
        <f t="shared" si="16"/>
        <v>12.81</v>
      </c>
      <c r="H278" s="78"/>
    </row>
    <row r="279" spans="1:9" x14ac:dyDescent="0.25">
      <c r="B279" s="67" t="s">
        <v>92</v>
      </c>
      <c r="C279" s="83" t="s">
        <v>277</v>
      </c>
      <c r="D279" s="119">
        <f t="shared" si="16"/>
        <v>1.2</v>
      </c>
      <c r="E279" s="119">
        <f t="shared" si="16"/>
        <v>1.2</v>
      </c>
      <c r="F279" s="119">
        <f t="shared" si="16"/>
        <v>1.2</v>
      </c>
      <c r="G279" s="119">
        <f t="shared" si="16"/>
        <v>1.2</v>
      </c>
      <c r="H279" s="78"/>
    </row>
    <row r="280" spans="1:9" x14ac:dyDescent="0.25">
      <c r="C280" s="83" t="s">
        <v>278</v>
      </c>
      <c r="D280" s="119">
        <f t="shared" si="16"/>
        <v>12.81</v>
      </c>
      <c r="E280" s="119">
        <f t="shared" si="16"/>
        <v>12.81</v>
      </c>
      <c r="F280" s="119">
        <f t="shared" si="16"/>
        <v>12.81</v>
      </c>
      <c r="G280" s="119">
        <f t="shared" si="16"/>
        <v>12.81</v>
      </c>
      <c r="H280" s="78"/>
    </row>
    <row r="281" spans="1:9" x14ac:dyDescent="0.25">
      <c r="B281" s="67" t="s">
        <v>93</v>
      </c>
      <c r="C281" s="83" t="s">
        <v>277</v>
      </c>
      <c r="D281" s="119">
        <f t="shared" si="16"/>
        <v>1.2</v>
      </c>
      <c r="E281" s="119">
        <f t="shared" si="16"/>
        <v>1.2</v>
      </c>
      <c r="F281" s="119">
        <f t="shared" si="16"/>
        <v>1.2</v>
      </c>
      <c r="G281" s="119">
        <f t="shared" si="16"/>
        <v>1.2</v>
      </c>
      <c r="H281" s="78"/>
    </row>
    <row r="282" spans="1:9" x14ac:dyDescent="0.25">
      <c r="C282" s="83" t="s">
        <v>278</v>
      </c>
      <c r="D282" s="119">
        <f t="shared" si="16"/>
        <v>12.81</v>
      </c>
      <c r="E282" s="119">
        <f t="shared" si="16"/>
        <v>12.81</v>
      </c>
      <c r="F282" s="119">
        <f t="shared" si="16"/>
        <v>12.81</v>
      </c>
      <c r="G282" s="119">
        <f t="shared" si="16"/>
        <v>12.81</v>
      </c>
      <c r="H282" s="78"/>
    </row>
    <row r="283" spans="1:9" x14ac:dyDescent="0.25">
      <c r="C283" s="83"/>
      <c r="D283" s="83"/>
    </row>
    <row r="284" spans="1:9" ht="13" customHeight="1" x14ac:dyDescent="0.3">
      <c r="A284" s="60" t="s">
        <v>279</v>
      </c>
      <c r="B284" s="70"/>
      <c r="C284" s="70"/>
      <c r="D284" s="70"/>
      <c r="E284" s="70"/>
      <c r="F284" s="70"/>
      <c r="G284" s="70"/>
      <c r="H284" s="70"/>
      <c r="I284" s="70"/>
    </row>
    <row r="285" spans="1:9" ht="26" customHeight="1" x14ac:dyDescent="0.3">
      <c r="A285" s="78" t="s">
        <v>118</v>
      </c>
      <c r="B285" s="57" t="s">
        <v>265</v>
      </c>
      <c r="C285" s="80" t="s">
        <v>280</v>
      </c>
      <c r="D285" s="62" t="s">
        <v>67</v>
      </c>
      <c r="E285" s="62" t="s">
        <v>77</v>
      </c>
      <c r="F285" s="62" t="s">
        <v>78</v>
      </c>
      <c r="G285" s="62" t="s">
        <v>79</v>
      </c>
      <c r="H285" s="81" t="s">
        <v>80</v>
      </c>
      <c r="I285" s="77"/>
    </row>
    <row r="286" spans="1:9" ht="13" customHeight="1" x14ac:dyDescent="0.3">
      <c r="A286" s="82"/>
      <c r="B286" s="67" t="s">
        <v>68</v>
      </c>
      <c r="C286" s="83" t="s">
        <v>119</v>
      </c>
      <c r="D286" s="119">
        <f t="shared" ref="D286:G305" si="17">D66*1.2</f>
        <v>1.2</v>
      </c>
      <c r="E286" s="119">
        <f t="shared" si="17"/>
        <v>1.2</v>
      </c>
      <c r="F286" s="119">
        <f t="shared" si="17"/>
        <v>1.2</v>
      </c>
      <c r="G286" s="119">
        <f t="shared" si="17"/>
        <v>1.2</v>
      </c>
      <c r="H286" s="78">
        <v>1.05</v>
      </c>
      <c r="I286" s="78"/>
    </row>
    <row r="287" spans="1:9" x14ac:dyDescent="0.25">
      <c r="C287" s="83" t="s">
        <v>120</v>
      </c>
      <c r="D287" s="119">
        <f t="shared" si="17"/>
        <v>1.62</v>
      </c>
      <c r="E287" s="119">
        <f t="shared" si="17"/>
        <v>1.2</v>
      </c>
      <c r="F287" s="119">
        <f t="shared" si="17"/>
        <v>1.2</v>
      </c>
      <c r="G287" s="119">
        <f t="shared" si="17"/>
        <v>1.2</v>
      </c>
      <c r="H287" s="78">
        <v>1.05</v>
      </c>
      <c r="I287" s="78"/>
    </row>
    <row r="288" spans="1:9" x14ac:dyDescent="0.25">
      <c r="C288" s="83" t="s">
        <v>121</v>
      </c>
      <c r="D288" s="119">
        <f t="shared" si="17"/>
        <v>1.62</v>
      </c>
      <c r="E288" s="119">
        <f t="shared" si="17"/>
        <v>1.2</v>
      </c>
      <c r="F288" s="119">
        <f t="shared" si="17"/>
        <v>1.2</v>
      </c>
      <c r="G288" s="119">
        <f t="shared" si="17"/>
        <v>1.2</v>
      </c>
      <c r="H288" s="78">
        <v>1.05</v>
      </c>
      <c r="I288" s="78"/>
    </row>
    <row r="289" spans="2:9" x14ac:dyDescent="0.25">
      <c r="C289" s="83" t="s">
        <v>122</v>
      </c>
      <c r="D289" s="119">
        <f t="shared" si="17"/>
        <v>6.48</v>
      </c>
      <c r="E289" s="119">
        <f t="shared" si="17"/>
        <v>1.2</v>
      </c>
      <c r="F289" s="119">
        <f t="shared" si="17"/>
        <v>1.2</v>
      </c>
      <c r="G289" s="119">
        <f t="shared" si="17"/>
        <v>1.2</v>
      </c>
      <c r="H289" s="78">
        <v>1.05</v>
      </c>
      <c r="I289" s="78"/>
    </row>
    <row r="290" spans="2:9" x14ac:dyDescent="0.25">
      <c r="B290" s="67" t="s">
        <v>69</v>
      </c>
      <c r="C290" s="83" t="s">
        <v>119</v>
      </c>
      <c r="D290" s="119">
        <f t="shared" si="17"/>
        <v>1.2</v>
      </c>
      <c r="E290" s="119">
        <f t="shared" si="17"/>
        <v>1.2</v>
      </c>
      <c r="F290" s="119">
        <f t="shared" si="17"/>
        <v>1.2</v>
      </c>
      <c r="G290" s="119">
        <f t="shared" si="17"/>
        <v>1.2</v>
      </c>
      <c r="H290" s="78">
        <v>1.05</v>
      </c>
      <c r="I290" s="78"/>
    </row>
    <row r="291" spans="2:9" x14ac:dyDescent="0.25">
      <c r="C291" s="83" t="s">
        <v>120</v>
      </c>
      <c r="D291" s="119">
        <f t="shared" si="17"/>
        <v>1.62</v>
      </c>
      <c r="E291" s="119">
        <f t="shared" si="17"/>
        <v>1.2</v>
      </c>
      <c r="F291" s="119">
        <f t="shared" si="17"/>
        <v>1.2</v>
      </c>
      <c r="G291" s="119">
        <f t="shared" si="17"/>
        <v>1.2</v>
      </c>
      <c r="H291" s="78">
        <v>1.05</v>
      </c>
      <c r="I291" s="78"/>
    </row>
    <row r="292" spans="2:9" x14ac:dyDescent="0.25">
      <c r="C292" s="83" t="s">
        <v>121</v>
      </c>
      <c r="D292" s="119">
        <f t="shared" si="17"/>
        <v>1.62</v>
      </c>
      <c r="E292" s="119">
        <f t="shared" si="17"/>
        <v>1.2</v>
      </c>
      <c r="F292" s="119">
        <f t="shared" si="17"/>
        <v>1.2</v>
      </c>
      <c r="G292" s="119">
        <f t="shared" si="17"/>
        <v>1.2</v>
      </c>
      <c r="H292" s="78">
        <v>1.05</v>
      </c>
      <c r="I292" s="78"/>
    </row>
    <row r="293" spans="2:9" x14ac:dyDescent="0.25">
      <c r="C293" s="83" t="s">
        <v>122</v>
      </c>
      <c r="D293" s="119">
        <f t="shared" si="17"/>
        <v>6.48</v>
      </c>
      <c r="E293" s="119">
        <f t="shared" si="17"/>
        <v>1.2</v>
      </c>
      <c r="F293" s="119">
        <f t="shared" si="17"/>
        <v>1.2</v>
      </c>
      <c r="G293" s="119">
        <f t="shared" si="17"/>
        <v>1.2</v>
      </c>
      <c r="H293" s="78">
        <v>1.05</v>
      </c>
      <c r="I293" s="78"/>
    </row>
    <row r="294" spans="2:9" x14ac:dyDescent="0.25">
      <c r="B294" s="67" t="s">
        <v>70</v>
      </c>
      <c r="C294" s="83" t="s">
        <v>119</v>
      </c>
      <c r="D294" s="119">
        <f t="shared" si="17"/>
        <v>1.2</v>
      </c>
      <c r="E294" s="119">
        <f t="shared" si="17"/>
        <v>1.2</v>
      </c>
      <c r="F294" s="119">
        <f t="shared" si="17"/>
        <v>1.2</v>
      </c>
      <c r="G294" s="119">
        <f t="shared" si="17"/>
        <v>1.2</v>
      </c>
      <c r="H294" s="78">
        <v>1.05</v>
      </c>
      <c r="I294" s="78"/>
    </row>
    <row r="295" spans="2:9" x14ac:dyDescent="0.25">
      <c r="C295" s="83" t="s">
        <v>120</v>
      </c>
      <c r="D295" s="119">
        <f t="shared" si="17"/>
        <v>1.62</v>
      </c>
      <c r="E295" s="119">
        <f t="shared" si="17"/>
        <v>1.2</v>
      </c>
      <c r="F295" s="119">
        <f t="shared" si="17"/>
        <v>1.2</v>
      </c>
      <c r="G295" s="119">
        <f t="shared" si="17"/>
        <v>1.2</v>
      </c>
      <c r="H295" s="78">
        <v>1.05</v>
      </c>
      <c r="I295" s="78"/>
    </row>
    <row r="296" spans="2:9" x14ac:dyDescent="0.25">
      <c r="C296" s="83" t="s">
        <v>121</v>
      </c>
      <c r="D296" s="119">
        <f t="shared" si="17"/>
        <v>1.62</v>
      </c>
      <c r="E296" s="119">
        <f t="shared" si="17"/>
        <v>1.2</v>
      </c>
      <c r="F296" s="119">
        <f t="shared" si="17"/>
        <v>1.2</v>
      </c>
      <c r="G296" s="119">
        <f t="shared" si="17"/>
        <v>1.2</v>
      </c>
      <c r="H296" s="78">
        <v>1.05</v>
      </c>
      <c r="I296" s="78"/>
    </row>
    <row r="297" spans="2:9" x14ac:dyDescent="0.25">
      <c r="C297" s="83" t="s">
        <v>122</v>
      </c>
      <c r="D297" s="119">
        <f t="shared" si="17"/>
        <v>6.48</v>
      </c>
      <c r="E297" s="119">
        <f t="shared" si="17"/>
        <v>1.2</v>
      </c>
      <c r="F297" s="119">
        <f t="shared" si="17"/>
        <v>1.2</v>
      </c>
      <c r="G297" s="119">
        <f t="shared" si="17"/>
        <v>1.2</v>
      </c>
      <c r="H297" s="78">
        <v>1.05</v>
      </c>
      <c r="I297" s="78"/>
    </row>
    <row r="298" spans="2:9" x14ac:dyDescent="0.25">
      <c r="B298" s="67" t="s">
        <v>72</v>
      </c>
      <c r="C298" s="83" t="s">
        <v>119</v>
      </c>
      <c r="D298" s="119">
        <f t="shared" si="17"/>
        <v>1.2</v>
      </c>
      <c r="E298" s="119">
        <f t="shared" si="17"/>
        <v>1.2</v>
      </c>
      <c r="F298" s="119">
        <f t="shared" si="17"/>
        <v>1.2</v>
      </c>
      <c r="G298" s="119">
        <f t="shared" si="17"/>
        <v>1.2</v>
      </c>
      <c r="H298" s="78">
        <v>1.05</v>
      </c>
      <c r="I298" s="78"/>
    </row>
    <row r="299" spans="2:9" x14ac:dyDescent="0.25">
      <c r="C299" s="83" t="s">
        <v>120</v>
      </c>
      <c r="D299" s="119">
        <f t="shared" si="17"/>
        <v>1.2</v>
      </c>
      <c r="E299" s="119">
        <f t="shared" si="17"/>
        <v>1.2</v>
      </c>
      <c r="F299" s="119">
        <f t="shared" si="17"/>
        <v>1.2</v>
      </c>
      <c r="G299" s="119">
        <f t="shared" si="17"/>
        <v>1.2</v>
      </c>
      <c r="H299" s="78">
        <v>1.05</v>
      </c>
      <c r="I299" s="78"/>
    </row>
    <row r="300" spans="2:9" x14ac:dyDescent="0.25">
      <c r="C300" s="83" t="s">
        <v>121</v>
      </c>
      <c r="D300" s="119">
        <f t="shared" si="17"/>
        <v>1.2</v>
      </c>
      <c r="E300" s="119">
        <f t="shared" si="17"/>
        <v>1.2</v>
      </c>
      <c r="F300" s="119">
        <f t="shared" si="17"/>
        <v>1.2</v>
      </c>
      <c r="G300" s="119">
        <f t="shared" si="17"/>
        <v>1.2</v>
      </c>
      <c r="H300" s="78">
        <v>1.05</v>
      </c>
      <c r="I300" s="78"/>
    </row>
    <row r="301" spans="2:9" x14ac:dyDescent="0.25">
      <c r="C301" s="83" t="s">
        <v>122</v>
      </c>
      <c r="D301" s="119">
        <f t="shared" si="17"/>
        <v>1.2</v>
      </c>
      <c r="E301" s="119">
        <f t="shared" si="17"/>
        <v>1.2</v>
      </c>
      <c r="F301" s="119">
        <f t="shared" si="17"/>
        <v>1.2</v>
      </c>
      <c r="G301" s="119">
        <f t="shared" si="17"/>
        <v>1.2</v>
      </c>
      <c r="H301" s="78">
        <v>1.05</v>
      </c>
      <c r="I301" s="78"/>
    </row>
    <row r="302" spans="2:9" x14ac:dyDescent="0.25">
      <c r="B302" s="67" t="s">
        <v>81</v>
      </c>
      <c r="C302" s="83" t="s">
        <v>119</v>
      </c>
      <c r="D302" s="119">
        <f t="shared" si="17"/>
        <v>1.2</v>
      </c>
      <c r="E302" s="119">
        <f t="shared" si="17"/>
        <v>1.2</v>
      </c>
      <c r="F302" s="119">
        <f t="shared" si="17"/>
        <v>1.2</v>
      </c>
      <c r="G302" s="119">
        <f t="shared" si="17"/>
        <v>1.2</v>
      </c>
      <c r="H302" s="78">
        <v>1.05</v>
      </c>
      <c r="I302" s="78"/>
    </row>
    <row r="303" spans="2:9" x14ac:dyDescent="0.25">
      <c r="C303" s="83" t="s">
        <v>120</v>
      </c>
      <c r="D303" s="119">
        <f t="shared" si="17"/>
        <v>1.2</v>
      </c>
      <c r="E303" s="119">
        <f t="shared" si="17"/>
        <v>2.7359999999999998</v>
      </c>
      <c r="F303" s="119">
        <f t="shared" si="17"/>
        <v>1.2</v>
      </c>
      <c r="G303" s="119">
        <f t="shared" si="17"/>
        <v>1.2</v>
      </c>
      <c r="H303" s="78">
        <v>1.05</v>
      </c>
      <c r="I303" s="78"/>
    </row>
    <row r="304" spans="2:9" x14ac:dyDescent="0.25">
      <c r="C304" s="83" t="s">
        <v>121</v>
      </c>
      <c r="D304" s="119">
        <f t="shared" si="17"/>
        <v>1.2</v>
      </c>
      <c r="E304" s="119">
        <f t="shared" si="17"/>
        <v>5.5439999999999996</v>
      </c>
      <c r="F304" s="119">
        <f t="shared" si="17"/>
        <v>1.2</v>
      </c>
      <c r="G304" s="119">
        <f t="shared" si="17"/>
        <v>1.2</v>
      </c>
      <c r="H304" s="78">
        <v>1.05</v>
      </c>
      <c r="I304" s="78"/>
    </row>
    <row r="305" spans="2:9" x14ac:dyDescent="0.25">
      <c r="C305" s="83" t="s">
        <v>122</v>
      </c>
      <c r="D305" s="119">
        <f t="shared" si="17"/>
        <v>1.2</v>
      </c>
      <c r="E305" s="119">
        <f t="shared" si="17"/>
        <v>12.635999999999999</v>
      </c>
      <c r="F305" s="119">
        <f t="shared" si="17"/>
        <v>1.764</v>
      </c>
      <c r="G305" s="119">
        <f t="shared" si="17"/>
        <v>3.0839999999999996</v>
      </c>
      <c r="H305" s="78">
        <v>1.05</v>
      </c>
      <c r="I305" s="78"/>
    </row>
    <row r="306" spans="2:9" x14ac:dyDescent="0.25">
      <c r="B306" s="67" t="s">
        <v>82</v>
      </c>
      <c r="C306" s="83" t="s">
        <v>119</v>
      </c>
      <c r="D306" s="119">
        <f t="shared" ref="D306:G325" si="18">D86*1.2</f>
        <v>1.2</v>
      </c>
      <c r="E306" s="119">
        <f t="shared" si="18"/>
        <v>1.2</v>
      </c>
      <c r="F306" s="119">
        <f t="shared" si="18"/>
        <v>1.2</v>
      </c>
      <c r="G306" s="119">
        <f t="shared" si="18"/>
        <v>1.2</v>
      </c>
      <c r="H306" s="78">
        <v>1.05</v>
      </c>
      <c r="I306" s="78"/>
    </row>
    <row r="307" spans="2:9" x14ac:dyDescent="0.25">
      <c r="C307" s="83" t="s">
        <v>120</v>
      </c>
      <c r="D307" s="119">
        <f t="shared" si="18"/>
        <v>1.2</v>
      </c>
      <c r="E307" s="119">
        <f t="shared" si="18"/>
        <v>1.9919999999999998</v>
      </c>
      <c r="F307" s="119">
        <f t="shared" si="18"/>
        <v>1.2</v>
      </c>
      <c r="G307" s="119">
        <f t="shared" si="18"/>
        <v>1.2</v>
      </c>
      <c r="H307" s="78">
        <v>1.05</v>
      </c>
      <c r="I307" s="78"/>
    </row>
    <row r="308" spans="2:9" x14ac:dyDescent="0.25">
      <c r="C308" s="83" t="s">
        <v>121</v>
      </c>
      <c r="D308" s="119">
        <f t="shared" si="18"/>
        <v>1.2</v>
      </c>
      <c r="E308" s="119">
        <f t="shared" si="18"/>
        <v>3</v>
      </c>
      <c r="F308" s="119">
        <f t="shared" si="18"/>
        <v>1.2</v>
      </c>
      <c r="G308" s="119">
        <f t="shared" si="18"/>
        <v>1.2</v>
      </c>
      <c r="H308" s="78">
        <v>1.05</v>
      </c>
      <c r="I308" s="78"/>
    </row>
    <row r="309" spans="2:9" x14ac:dyDescent="0.25">
      <c r="C309" s="83" t="s">
        <v>122</v>
      </c>
      <c r="D309" s="119">
        <f t="shared" si="18"/>
        <v>1.2</v>
      </c>
      <c r="E309" s="119">
        <f t="shared" si="18"/>
        <v>17.963999999999999</v>
      </c>
      <c r="F309" s="119">
        <f t="shared" si="18"/>
        <v>2.3039999999999998</v>
      </c>
      <c r="G309" s="119">
        <f t="shared" si="18"/>
        <v>2.3039999999999998</v>
      </c>
      <c r="H309" s="78">
        <v>1.05</v>
      </c>
      <c r="I309" s="78"/>
    </row>
    <row r="310" spans="2:9" x14ac:dyDescent="0.25">
      <c r="B310" s="67" t="s">
        <v>84</v>
      </c>
      <c r="C310" s="83" t="s">
        <v>119</v>
      </c>
      <c r="D310" s="119">
        <f t="shared" si="18"/>
        <v>1.2</v>
      </c>
      <c r="E310" s="119">
        <f t="shared" si="18"/>
        <v>1.2</v>
      </c>
      <c r="F310" s="119">
        <f t="shared" si="18"/>
        <v>1.2</v>
      </c>
      <c r="G310" s="119">
        <f t="shared" si="18"/>
        <v>1.2</v>
      </c>
      <c r="H310" s="78">
        <v>1.05</v>
      </c>
      <c r="I310" s="78"/>
    </row>
    <row r="311" spans="2:9" x14ac:dyDescent="0.25">
      <c r="C311" s="83" t="s">
        <v>120</v>
      </c>
      <c r="D311" s="119">
        <f t="shared" si="18"/>
        <v>1.2</v>
      </c>
      <c r="E311" s="119">
        <f t="shared" si="18"/>
        <v>1.776</v>
      </c>
      <c r="F311" s="119">
        <f t="shared" si="18"/>
        <v>1.2</v>
      </c>
      <c r="G311" s="119">
        <f t="shared" si="18"/>
        <v>1.2</v>
      </c>
      <c r="H311" s="78">
        <v>1.05</v>
      </c>
      <c r="I311" s="78"/>
    </row>
    <row r="312" spans="2:9" x14ac:dyDescent="0.25">
      <c r="C312" s="83" t="s">
        <v>121</v>
      </c>
      <c r="D312" s="119">
        <f t="shared" si="18"/>
        <v>1.2</v>
      </c>
      <c r="E312" s="119">
        <f t="shared" si="18"/>
        <v>3.4079999999999999</v>
      </c>
      <c r="F312" s="119">
        <f t="shared" si="18"/>
        <v>1.2</v>
      </c>
      <c r="G312" s="119">
        <f t="shared" si="18"/>
        <v>1.2</v>
      </c>
      <c r="H312" s="78">
        <v>1.05</v>
      </c>
      <c r="I312" s="78"/>
    </row>
    <row r="313" spans="2:9" x14ac:dyDescent="0.25">
      <c r="C313" s="83" t="s">
        <v>122</v>
      </c>
      <c r="D313" s="119">
        <f t="shared" si="18"/>
        <v>1.2</v>
      </c>
      <c r="E313" s="119">
        <f t="shared" si="18"/>
        <v>17.28</v>
      </c>
      <c r="F313" s="119">
        <f t="shared" si="18"/>
        <v>4.4279999999999999</v>
      </c>
      <c r="G313" s="119">
        <f t="shared" si="18"/>
        <v>4.4279999999999999</v>
      </c>
      <c r="H313" s="78">
        <v>1.05</v>
      </c>
      <c r="I313" s="78"/>
    </row>
    <row r="314" spans="2:9" x14ac:dyDescent="0.25">
      <c r="B314" s="67" t="s">
        <v>83</v>
      </c>
      <c r="C314" s="83" t="s">
        <v>119</v>
      </c>
      <c r="D314" s="119">
        <f t="shared" si="18"/>
        <v>1.2</v>
      </c>
      <c r="E314" s="119">
        <f t="shared" si="18"/>
        <v>1.2</v>
      </c>
      <c r="F314" s="119">
        <f t="shared" si="18"/>
        <v>1.2</v>
      </c>
      <c r="G314" s="119">
        <f t="shared" si="18"/>
        <v>1.2</v>
      </c>
      <c r="H314" s="78">
        <v>1.05</v>
      </c>
      <c r="I314" s="78"/>
    </row>
    <row r="315" spans="2:9" x14ac:dyDescent="0.25">
      <c r="C315" s="83" t="s">
        <v>120</v>
      </c>
      <c r="D315" s="119">
        <f t="shared" si="18"/>
        <v>1.2</v>
      </c>
      <c r="E315" s="119">
        <f t="shared" si="18"/>
        <v>1.776</v>
      </c>
      <c r="F315" s="119">
        <f t="shared" si="18"/>
        <v>1.2</v>
      </c>
      <c r="G315" s="119">
        <f t="shared" si="18"/>
        <v>1.2</v>
      </c>
      <c r="H315" s="78">
        <v>1.05</v>
      </c>
      <c r="I315" s="78"/>
    </row>
    <row r="316" spans="2:9" x14ac:dyDescent="0.25">
      <c r="C316" s="83" t="s">
        <v>121</v>
      </c>
      <c r="D316" s="119">
        <f t="shared" si="18"/>
        <v>1.2</v>
      </c>
      <c r="E316" s="119">
        <f t="shared" si="18"/>
        <v>3.4079999999999999</v>
      </c>
      <c r="F316" s="119">
        <f t="shared" si="18"/>
        <v>1.2</v>
      </c>
      <c r="G316" s="119">
        <f t="shared" si="18"/>
        <v>1.2</v>
      </c>
      <c r="H316" s="78">
        <v>1.05</v>
      </c>
      <c r="I316" s="78"/>
    </row>
    <row r="317" spans="2:9" x14ac:dyDescent="0.25">
      <c r="C317" s="83" t="s">
        <v>122</v>
      </c>
      <c r="D317" s="119">
        <f t="shared" si="18"/>
        <v>1.2</v>
      </c>
      <c r="E317" s="119">
        <f t="shared" si="18"/>
        <v>17.28</v>
      </c>
      <c r="F317" s="119">
        <f t="shared" si="18"/>
        <v>4.4279999999999999</v>
      </c>
      <c r="G317" s="119">
        <f t="shared" si="18"/>
        <v>4.4279999999999999</v>
      </c>
      <c r="H317" s="78">
        <v>1.05</v>
      </c>
      <c r="I317" s="78"/>
    </row>
    <row r="318" spans="2:9" x14ac:dyDescent="0.25">
      <c r="B318" s="67" t="s">
        <v>86</v>
      </c>
      <c r="C318" s="83" t="s">
        <v>119</v>
      </c>
      <c r="D318" s="119">
        <f t="shared" si="18"/>
        <v>1.2</v>
      </c>
      <c r="E318" s="119">
        <f t="shared" si="18"/>
        <v>1.2</v>
      </c>
      <c r="F318" s="119">
        <f t="shared" si="18"/>
        <v>1.2</v>
      </c>
      <c r="G318" s="119">
        <f t="shared" si="18"/>
        <v>1.2</v>
      </c>
      <c r="H318" s="78">
        <v>1.05</v>
      </c>
      <c r="I318" s="78"/>
    </row>
    <row r="319" spans="2:9" x14ac:dyDescent="0.25">
      <c r="C319" s="83" t="s">
        <v>120</v>
      </c>
      <c r="D319" s="119">
        <f t="shared" si="18"/>
        <v>1.2</v>
      </c>
      <c r="E319" s="119">
        <f t="shared" si="18"/>
        <v>1.776</v>
      </c>
      <c r="F319" s="119">
        <f t="shared" si="18"/>
        <v>1.2</v>
      </c>
      <c r="G319" s="119">
        <f t="shared" si="18"/>
        <v>1.2</v>
      </c>
      <c r="H319" s="78">
        <v>1.05</v>
      </c>
      <c r="I319" s="78"/>
    </row>
    <row r="320" spans="2:9" x14ac:dyDescent="0.25">
      <c r="C320" s="83" t="s">
        <v>121</v>
      </c>
      <c r="D320" s="119">
        <f t="shared" si="18"/>
        <v>1.2</v>
      </c>
      <c r="E320" s="119">
        <f t="shared" si="18"/>
        <v>3.4079999999999999</v>
      </c>
      <c r="F320" s="119">
        <f t="shared" si="18"/>
        <v>1.2</v>
      </c>
      <c r="G320" s="119">
        <f t="shared" si="18"/>
        <v>1.2</v>
      </c>
      <c r="H320" s="78">
        <v>1.05</v>
      </c>
      <c r="I320" s="78"/>
    </row>
    <row r="321" spans="1:9" x14ac:dyDescent="0.25">
      <c r="C321" s="83" t="s">
        <v>122</v>
      </c>
      <c r="D321" s="119">
        <f t="shared" si="18"/>
        <v>1.2</v>
      </c>
      <c r="E321" s="119">
        <f t="shared" si="18"/>
        <v>17.28</v>
      </c>
      <c r="F321" s="119">
        <f t="shared" si="18"/>
        <v>4.4279999999999999</v>
      </c>
      <c r="G321" s="119">
        <f t="shared" si="18"/>
        <v>4.4279999999999999</v>
      </c>
      <c r="H321" s="78">
        <v>1.05</v>
      </c>
      <c r="I321" s="78"/>
    </row>
    <row r="323" spans="1:9" ht="13" customHeight="1" x14ac:dyDescent="0.3">
      <c r="A323" s="60" t="s">
        <v>281</v>
      </c>
      <c r="B323" s="70"/>
      <c r="C323" s="70"/>
      <c r="D323" s="70"/>
      <c r="E323" s="70"/>
      <c r="F323" s="70"/>
      <c r="G323" s="70"/>
      <c r="H323" s="70"/>
      <c r="I323" s="70"/>
    </row>
    <row r="324" spans="1:9" ht="26" customHeight="1" x14ac:dyDescent="0.3">
      <c r="A324" s="78" t="s">
        <v>81</v>
      </c>
      <c r="B324" s="82" t="s">
        <v>122</v>
      </c>
      <c r="C324" s="80" t="s">
        <v>280</v>
      </c>
      <c r="D324" s="62" t="s">
        <v>67</v>
      </c>
      <c r="E324" s="62" t="s">
        <v>77</v>
      </c>
      <c r="F324" s="62" t="s">
        <v>78</v>
      </c>
      <c r="G324" s="62" t="s">
        <v>79</v>
      </c>
      <c r="H324" s="81" t="s">
        <v>80</v>
      </c>
      <c r="I324" s="77"/>
    </row>
    <row r="325" spans="1:9" ht="13" customHeight="1" x14ac:dyDescent="0.3">
      <c r="A325" s="57"/>
      <c r="C325" s="83" t="s">
        <v>119</v>
      </c>
      <c r="D325" s="119">
        <f t="shared" ref="D325:G328" si="19">D105*1.2</f>
        <v>1.2</v>
      </c>
      <c r="E325" s="119">
        <f t="shared" si="19"/>
        <v>1.2</v>
      </c>
      <c r="F325" s="119">
        <f t="shared" si="19"/>
        <v>1.2</v>
      </c>
      <c r="G325" s="119">
        <f t="shared" si="19"/>
        <v>1.2</v>
      </c>
      <c r="H325" s="78">
        <v>1.05</v>
      </c>
      <c r="I325" s="78"/>
    </row>
    <row r="326" spans="1:9" x14ac:dyDescent="0.25">
      <c r="C326" s="83" t="s">
        <v>120</v>
      </c>
      <c r="D326" s="119">
        <f t="shared" si="19"/>
        <v>1.512</v>
      </c>
      <c r="E326" s="119">
        <f t="shared" si="19"/>
        <v>1.512</v>
      </c>
      <c r="F326" s="119">
        <f t="shared" si="19"/>
        <v>1.2</v>
      </c>
      <c r="G326" s="119">
        <f t="shared" si="19"/>
        <v>1.2</v>
      </c>
      <c r="H326" s="78">
        <v>1.05</v>
      </c>
      <c r="I326" s="78"/>
    </row>
    <row r="327" spans="1:9" x14ac:dyDescent="0.25">
      <c r="C327" s="83" t="s">
        <v>121</v>
      </c>
      <c r="D327" s="119">
        <f t="shared" si="19"/>
        <v>2.016</v>
      </c>
      <c r="E327" s="119">
        <f t="shared" si="19"/>
        <v>2.016</v>
      </c>
      <c r="F327" s="119">
        <f t="shared" si="19"/>
        <v>1.2</v>
      </c>
      <c r="G327" s="119">
        <f t="shared" si="19"/>
        <v>1.2</v>
      </c>
      <c r="H327" s="78">
        <v>1.05</v>
      </c>
      <c r="I327" s="78"/>
    </row>
    <row r="328" spans="1:9" x14ac:dyDescent="0.25">
      <c r="C328" s="83" t="s">
        <v>122</v>
      </c>
      <c r="D328" s="119">
        <f t="shared" si="19"/>
        <v>3.1799999999999997</v>
      </c>
      <c r="E328" s="119">
        <f t="shared" si="19"/>
        <v>3.1799999999999997</v>
      </c>
      <c r="F328" s="119">
        <f t="shared" si="19"/>
        <v>2.4839999999999995</v>
      </c>
      <c r="G328" s="119">
        <f t="shared" si="19"/>
        <v>2.4839999999999995</v>
      </c>
      <c r="H328" s="78">
        <v>1.05</v>
      </c>
      <c r="I328" s="78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19" zoomScale="70" zoomScaleNormal="70" workbookViewId="0">
      <selection activeCell="C67" sqref="C67"/>
    </sheetView>
  </sheetViews>
  <sheetFormatPr defaultColWidth="12.81640625" defaultRowHeight="12.5" x14ac:dyDescent="0.25"/>
  <cols>
    <col min="1" max="1" width="44.90625" style="67" customWidth="1"/>
    <col min="2" max="2" width="44.453125" style="67" customWidth="1"/>
    <col min="3" max="3" width="17.81640625" style="67" customWidth="1"/>
    <col min="4" max="4" width="17.54296875" style="67" customWidth="1"/>
    <col min="5" max="5" width="17.1796875" style="67" customWidth="1"/>
    <col min="6" max="6" width="15" style="67" customWidth="1"/>
    <col min="7" max="7" width="13.6328125" style="67" customWidth="1"/>
    <col min="8" max="8" width="12.81640625" style="67" customWidth="1"/>
    <col min="9" max="16384" width="12.81640625" style="67"/>
  </cols>
  <sheetData>
    <row r="1" spans="1:7" s="70" customFormat="1" ht="14.25" customHeight="1" x14ac:dyDescent="0.3">
      <c r="A1" s="60" t="s">
        <v>282</v>
      </c>
    </row>
    <row r="2" spans="1:7" ht="14.25" customHeight="1" x14ac:dyDescent="0.3">
      <c r="A2" s="82" t="s">
        <v>203</v>
      </c>
      <c r="B2" s="76"/>
      <c r="C2" s="57" t="s">
        <v>67</v>
      </c>
      <c r="D2" s="57" t="s">
        <v>77</v>
      </c>
      <c r="E2" s="57" t="s">
        <v>78</v>
      </c>
      <c r="F2" s="57" t="s">
        <v>79</v>
      </c>
      <c r="G2" s="57" t="s">
        <v>80</v>
      </c>
    </row>
    <row r="3" spans="1:7" ht="14.25" customHeight="1" x14ac:dyDescent="0.25">
      <c r="B3" s="71" t="s">
        <v>283</v>
      </c>
      <c r="C3" s="90" t="s">
        <v>284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57"/>
      <c r="B4" s="75" t="s">
        <v>285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63" t="s">
        <v>286</v>
      </c>
    </row>
    <row r="6" spans="1:7" ht="14.25" customHeight="1" x14ac:dyDescent="0.25">
      <c r="B6" s="75" t="s">
        <v>191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5">
      <c r="B7" s="7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5">
      <c r="B8" s="75" t="s">
        <v>192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5">
      <c r="B9" s="7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75"/>
      <c r="C10" s="75"/>
      <c r="D10" s="75"/>
      <c r="E10" s="75"/>
      <c r="F10" s="75"/>
      <c r="G10" s="75"/>
    </row>
    <row r="11" spans="1:7" s="70" customFormat="1" ht="14.25" customHeight="1" x14ac:dyDescent="0.3">
      <c r="A11" s="60" t="s">
        <v>287</v>
      </c>
    </row>
    <row r="12" spans="1:7" ht="14.25" customHeight="1" x14ac:dyDescent="0.3">
      <c r="A12" s="63"/>
      <c r="B12" s="7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63"/>
      <c r="B13" s="71"/>
    </row>
    <row r="14" spans="1:7" s="70" customFormat="1" ht="14.25" customHeight="1" x14ac:dyDescent="0.3">
      <c r="A14" s="60" t="s">
        <v>288</v>
      </c>
    </row>
    <row r="15" spans="1:7" ht="14.25" customHeight="1" x14ac:dyDescent="0.3">
      <c r="A15" s="82" t="s">
        <v>272</v>
      </c>
      <c r="B15" s="75" t="s">
        <v>289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57"/>
      <c r="B16" s="75" t="s">
        <v>290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71" t="s">
        <v>291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70" customFormat="1" ht="14.25" customHeight="1" x14ac:dyDescent="0.3">
      <c r="A19" s="60" t="s">
        <v>292</v>
      </c>
    </row>
    <row r="20" spans="1:7" s="63" customFormat="1" ht="14.25" customHeight="1" x14ac:dyDescent="0.3">
      <c r="C20" s="30" t="s">
        <v>58</v>
      </c>
      <c r="D20" s="30" t="s">
        <v>59</v>
      </c>
      <c r="E20" s="30" t="s">
        <v>60</v>
      </c>
      <c r="F20" s="30" t="s">
        <v>61</v>
      </c>
    </row>
    <row r="21" spans="1:7" x14ac:dyDescent="0.25">
      <c r="B21" s="7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1" customFormat="1" ht="13" customHeight="1" x14ac:dyDescent="0.3">
      <c r="A23" s="91" t="s">
        <v>235</v>
      </c>
    </row>
    <row r="24" spans="1:7" ht="13" customHeight="1" x14ac:dyDescent="0.3">
      <c r="A24" s="60" t="s">
        <v>282</v>
      </c>
      <c r="B24" s="70"/>
      <c r="C24" s="70"/>
      <c r="D24" s="70"/>
      <c r="E24" s="70"/>
      <c r="F24" s="70"/>
      <c r="G24" s="70"/>
    </row>
    <row r="25" spans="1:7" ht="13" customHeight="1" x14ac:dyDescent="0.3">
      <c r="A25" s="82" t="s">
        <v>203</v>
      </c>
      <c r="B25" s="76"/>
      <c r="C25" s="57" t="s">
        <v>67</v>
      </c>
      <c r="D25" s="57" t="s">
        <v>77</v>
      </c>
      <c r="E25" s="57" t="s">
        <v>78</v>
      </c>
      <c r="F25" s="57" t="s">
        <v>79</v>
      </c>
      <c r="G25" s="57" t="s">
        <v>80</v>
      </c>
    </row>
    <row r="26" spans="1:7" x14ac:dyDescent="0.25">
      <c r="B26" s="71" t="s">
        <v>293</v>
      </c>
      <c r="C26" s="90" t="s">
        <v>284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ht="13" customHeight="1" x14ac:dyDescent="0.3">
      <c r="A27" s="57"/>
      <c r="B27" s="75" t="s">
        <v>294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ht="13" customHeight="1" x14ac:dyDescent="0.3">
      <c r="A28" s="63" t="s">
        <v>295</v>
      </c>
    </row>
    <row r="29" spans="1:7" x14ac:dyDescent="0.25">
      <c r="B29" s="75" t="s">
        <v>296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5">
      <c r="B30" s="75" t="s">
        <v>297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5">
      <c r="B31" s="75" t="s">
        <v>298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5">
      <c r="B32" s="75" t="s">
        <v>299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5">
      <c r="B33" s="75"/>
      <c r="C33" s="75"/>
      <c r="D33" s="75"/>
      <c r="E33" s="75"/>
      <c r="F33" s="75"/>
      <c r="G33" s="75"/>
    </row>
    <row r="34" spans="1:7" ht="13" customHeight="1" x14ac:dyDescent="0.3">
      <c r="A34" s="60" t="s">
        <v>300</v>
      </c>
      <c r="B34" s="70"/>
      <c r="C34" s="70"/>
      <c r="D34" s="70"/>
      <c r="E34" s="70"/>
      <c r="F34" s="70"/>
      <c r="G34" s="70"/>
    </row>
    <row r="35" spans="1:7" ht="13" customHeight="1" x14ac:dyDescent="0.3">
      <c r="A35" s="63"/>
      <c r="B35" s="71" t="s">
        <v>301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63"/>
      <c r="B36" s="71"/>
    </row>
    <row r="37" spans="1:7" ht="13" customHeight="1" x14ac:dyDescent="0.3">
      <c r="A37" s="60" t="s">
        <v>288</v>
      </c>
      <c r="B37" s="70"/>
      <c r="C37" s="70"/>
      <c r="D37" s="70"/>
      <c r="E37" s="70"/>
      <c r="F37" s="70"/>
      <c r="G37" s="70"/>
    </row>
    <row r="38" spans="1:7" ht="13" customHeight="1" x14ac:dyDescent="0.3">
      <c r="A38" s="82" t="s">
        <v>272</v>
      </c>
      <c r="B38" s="75" t="s">
        <v>302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ht="13" customHeight="1" x14ac:dyDescent="0.3">
      <c r="A39" s="57"/>
      <c r="B39" s="75" t="s">
        <v>303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ht="13" customHeight="1" x14ac:dyDescent="0.3">
      <c r="A40" s="82" t="s">
        <v>111</v>
      </c>
      <c r="B40" s="71" t="s">
        <v>304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ht="13" customHeight="1" x14ac:dyDescent="0.3">
      <c r="A42" s="60" t="s">
        <v>305</v>
      </c>
      <c r="B42" s="70"/>
      <c r="C42" s="70"/>
      <c r="D42" s="70"/>
      <c r="E42" s="70"/>
      <c r="F42" s="70"/>
      <c r="G42" s="70"/>
    </row>
    <row r="43" spans="1:7" ht="13" customHeight="1" x14ac:dyDescent="0.3">
      <c r="A43" s="63"/>
      <c r="B43" s="63"/>
      <c r="C43" s="30" t="s">
        <v>58</v>
      </c>
      <c r="D43" s="30" t="s">
        <v>59</v>
      </c>
      <c r="E43" s="30" t="s">
        <v>60</v>
      </c>
      <c r="F43" s="30" t="s">
        <v>61</v>
      </c>
      <c r="G43" s="63"/>
    </row>
    <row r="44" spans="1:7" x14ac:dyDescent="0.25">
      <c r="B44" s="71" t="s">
        <v>306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1" customFormat="1" ht="13" customHeight="1" x14ac:dyDescent="0.3">
      <c r="A46" s="91" t="s">
        <v>239</v>
      </c>
    </row>
    <row r="47" spans="1:7" ht="13" customHeight="1" x14ac:dyDescent="0.3">
      <c r="A47" s="60" t="s">
        <v>282</v>
      </c>
      <c r="B47" s="70"/>
      <c r="C47" s="70"/>
      <c r="D47" s="70"/>
      <c r="E47" s="70"/>
      <c r="F47" s="70"/>
      <c r="G47" s="70"/>
    </row>
    <row r="48" spans="1:7" ht="13" customHeight="1" x14ac:dyDescent="0.3">
      <c r="A48" s="82" t="s">
        <v>203</v>
      </c>
      <c r="B48" s="76"/>
      <c r="C48" s="57" t="s">
        <v>67</v>
      </c>
      <c r="D48" s="57" t="s">
        <v>77</v>
      </c>
      <c r="E48" s="57" t="s">
        <v>78</v>
      </c>
      <c r="F48" s="57" t="s">
        <v>79</v>
      </c>
      <c r="G48" s="57" t="s">
        <v>80</v>
      </c>
    </row>
    <row r="49" spans="1:7" x14ac:dyDescent="0.25">
      <c r="B49" s="71" t="s">
        <v>307</v>
      </c>
      <c r="C49" s="90" t="s">
        <v>284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ht="13" customHeight="1" x14ac:dyDescent="0.3">
      <c r="A50" s="57"/>
      <c r="B50" s="75" t="s">
        <v>308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ht="13" customHeight="1" x14ac:dyDescent="0.3">
      <c r="A51" s="63" t="s">
        <v>309</v>
      </c>
    </row>
    <row r="52" spans="1:7" x14ac:dyDescent="0.25">
      <c r="B52" s="75" t="s">
        <v>310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5">
      <c r="B53" s="75" t="s">
        <v>311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5">
      <c r="B54" s="75" t="s">
        <v>312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5">
      <c r="B55" s="75" t="s">
        <v>313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5">
      <c r="B56" s="75"/>
      <c r="C56" s="75"/>
      <c r="D56" s="75"/>
      <c r="E56" s="75"/>
      <c r="F56" s="75"/>
      <c r="G56" s="75"/>
    </row>
    <row r="57" spans="1:7" ht="13" customHeight="1" x14ac:dyDescent="0.3">
      <c r="A57" s="60" t="s">
        <v>314</v>
      </c>
      <c r="B57" s="70"/>
      <c r="C57" s="70"/>
      <c r="D57" s="70"/>
      <c r="E57" s="70"/>
      <c r="F57" s="70"/>
      <c r="G57" s="70"/>
    </row>
    <row r="58" spans="1:7" ht="13" customHeight="1" x14ac:dyDescent="0.3">
      <c r="A58" s="63"/>
      <c r="B58" s="71" t="s">
        <v>315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63"/>
      <c r="B59" s="71"/>
    </row>
    <row r="60" spans="1:7" ht="13" customHeight="1" x14ac:dyDescent="0.3">
      <c r="A60" s="60" t="s">
        <v>288</v>
      </c>
      <c r="B60" s="70"/>
      <c r="C60" s="70"/>
      <c r="D60" s="70"/>
      <c r="E60" s="70"/>
      <c r="F60" s="70"/>
      <c r="G60" s="70"/>
    </row>
    <row r="61" spans="1:7" ht="13" customHeight="1" x14ac:dyDescent="0.3">
      <c r="A61" s="82" t="s">
        <v>272</v>
      </c>
      <c r="B61" s="75" t="s">
        <v>316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ht="13" customHeight="1" x14ac:dyDescent="0.3">
      <c r="A62" s="57"/>
      <c r="B62" s="75" t="s">
        <v>317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ht="13" customHeight="1" x14ac:dyDescent="0.3">
      <c r="A63" s="82" t="s">
        <v>111</v>
      </c>
      <c r="B63" s="71" t="s">
        <v>318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ht="13" customHeight="1" x14ac:dyDescent="0.3">
      <c r="A65" s="60" t="s">
        <v>319</v>
      </c>
      <c r="B65" s="70"/>
      <c r="C65" s="70"/>
      <c r="D65" s="70"/>
      <c r="E65" s="70"/>
      <c r="F65" s="70"/>
      <c r="G65" s="70"/>
    </row>
    <row r="66" spans="1:7" ht="13" customHeight="1" x14ac:dyDescent="0.3">
      <c r="A66" s="63"/>
      <c r="B66" s="63"/>
      <c r="C66" s="30" t="s">
        <v>58</v>
      </c>
      <c r="D66" s="30" t="s">
        <v>59</v>
      </c>
      <c r="E66" s="30" t="s">
        <v>60</v>
      </c>
      <c r="F66" s="30" t="s">
        <v>61</v>
      </c>
      <c r="G66" s="63"/>
    </row>
    <row r="67" spans="1:7" x14ac:dyDescent="0.25">
      <c r="B67" s="71" t="s">
        <v>320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n+dd5RXvE7W5wdkW7+gzHSdBIbnlzvZ2ZA50JSi67WtUgMwgHMz43kBDOUFNjsEfm45DhflGTskWq1hhZMGpGQ==" saltValue="ziGfo9OWd6dRElFtPTgn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8" zoomScale="70" zoomScaleNormal="70" workbookViewId="0">
      <selection activeCell="C32" sqref="C32"/>
    </sheetView>
  </sheetViews>
  <sheetFormatPr defaultColWidth="16.08984375" defaultRowHeight="15.75" customHeight="1" x14ac:dyDescent="0.25"/>
  <cols>
    <col min="1" max="1" width="52.1796875" style="67" customWidth="1"/>
    <col min="2" max="6" width="16.08984375" style="67" customWidth="1"/>
    <col min="7" max="7" width="17.1796875" style="67" customWidth="1"/>
    <col min="8" max="9" width="16.08984375" style="67" customWidth="1"/>
    <col min="10" max="16384" width="16.08984375" style="67"/>
  </cols>
  <sheetData>
    <row r="1" spans="1:6" ht="15.75" customHeight="1" x14ac:dyDescent="0.3">
      <c r="A1" s="76" t="s">
        <v>156</v>
      </c>
      <c r="B1" s="57"/>
      <c r="C1" s="57" t="s">
        <v>40</v>
      </c>
      <c r="D1" s="57" t="s">
        <v>42</v>
      </c>
      <c r="E1" s="57" t="s">
        <v>41</v>
      </c>
      <c r="F1" s="76" t="s">
        <v>43</v>
      </c>
    </row>
    <row r="2" spans="1:6" ht="15.75" customHeight="1" x14ac:dyDescent="0.25">
      <c r="A2" s="75" t="s">
        <v>166</v>
      </c>
      <c r="B2" s="75" t="s">
        <v>321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5">
      <c r="A3" s="75"/>
      <c r="B3" s="75" t="s">
        <v>322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75" t="s">
        <v>179</v>
      </c>
      <c r="B4" s="75" t="s">
        <v>321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5">
      <c r="A5" s="75"/>
      <c r="B5" s="75" t="s">
        <v>322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75" t="s">
        <v>180</v>
      </c>
      <c r="B6" s="75" t="s">
        <v>321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5">
      <c r="A7" s="75"/>
      <c r="B7" s="75" t="s">
        <v>322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75" t="s">
        <v>181</v>
      </c>
      <c r="B8" s="75" t="s">
        <v>321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75"/>
      <c r="B9" s="75" t="s">
        <v>322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75" t="s">
        <v>185</v>
      </c>
      <c r="B10" s="75" t="s">
        <v>321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75"/>
      <c r="B11" s="75" t="s">
        <v>322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75" t="s">
        <v>189</v>
      </c>
      <c r="B12" s="75" t="s">
        <v>321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5">
      <c r="A13" s="75"/>
      <c r="B13" s="75" t="s">
        <v>322</v>
      </c>
      <c r="C13" s="90">
        <v>1</v>
      </c>
      <c r="D13" s="90">
        <v>1</v>
      </c>
      <c r="E13" s="90">
        <v>1</v>
      </c>
      <c r="F13" s="90">
        <v>1</v>
      </c>
    </row>
    <row r="15" spans="1:6" s="91" customFormat="1" ht="15.75" customHeight="1" x14ac:dyDescent="0.3">
      <c r="A15" s="91" t="s">
        <v>235</v>
      </c>
    </row>
    <row r="16" spans="1:6" ht="15.75" customHeight="1" x14ac:dyDescent="0.3">
      <c r="A16" s="76" t="s">
        <v>156</v>
      </c>
      <c r="B16" s="57"/>
      <c r="C16" s="57" t="s">
        <v>40</v>
      </c>
      <c r="D16" s="57" t="s">
        <v>42</v>
      </c>
      <c r="E16" s="57" t="s">
        <v>41</v>
      </c>
      <c r="F16" s="76" t="s">
        <v>43</v>
      </c>
    </row>
    <row r="17" spans="1:6" ht="15.75" customHeight="1" x14ac:dyDescent="0.25">
      <c r="A17" s="75" t="s">
        <v>166</v>
      </c>
      <c r="B17" s="75" t="s">
        <v>321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5">
      <c r="A18" s="75"/>
      <c r="B18" s="75" t="s">
        <v>322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5">
      <c r="A19" s="75" t="s">
        <v>179</v>
      </c>
      <c r="B19" s="75" t="s">
        <v>321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5">
      <c r="A20" s="75"/>
      <c r="B20" s="75" t="s">
        <v>322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5">
      <c r="A21" s="75" t="s">
        <v>180</v>
      </c>
      <c r="B21" s="75" t="s">
        <v>321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5">
      <c r="A22" s="75"/>
      <c r="B22" s="75" t="s">
        <v>322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5">
      <c r="A23" s="75" t="s">
        <v>181</v>
      </c>
      <c r="B23" s="75" t="s">
        <v>321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5">
      <c r="A24" s="75"/>
      <c r="B24" s="75" t="s">
        <v>322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5">
      <c r="A25" s="75" t="s">
        <v>185</v>
      </c>
      <c r="B25" s="75" t="s">
        <v>321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5">
      <c r="A26" s="75"/>
      <c r="B26" s="75" t="s">
        <v>322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5">
      <c r="A27" s="75" t="s">
        <v>189</v>
      </c>
      <c r="B27" s="75" t="s">
        <v>321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5">
      <c r="A28" s="75"/>
      <c r="B28" s="75" t="s">
        <v>322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1" customFormat="1" ht="15.75" customHeight="1" x14ac:dyDescent="0.3">
      <c r="A30" s="91" t="s">
        <v>239</v>
      </c>
    </row>
    <row r="31" spans="1:6" ht="15.75" customHeight="1" x14ac:dyDescent="0.3">
      <c r="A31" s="76" t="s">
        <v>156</v>
      </c>
      <c r="B31" s="57"/>
      <c r="C31" s="57" t="s">
        <v>40</v>
      </c>
      <c r="D31" s="57" t="s">
        <v>42</v>
      </c>
      <c r="E31" s="57" t="s">
        <v>41</v>
      </c>
      <c r="F31" s="76" t="s">
        <v>43</v>
      </c>
    </row>
    <row r="32" spans="1:6" ht="15.75" customHeight="1" x14ac:dyDescent="0.25">
      <c r="A32" s="75" t="s">
        <v>166</v>
      </c>
      <c r="B32" s="75" t="s">
        <v>321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5">
      <c r="A33" s="75"/>
      <c r="B33" s="75" t="s">
        <v>322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5">
      <c r="A34" s="75" t="s">
        <v>179</v>
      </c>
      <c r="B34" s="75" t="s">
        <v>321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5">
      <c r="A35" s="75"/>
      <c r="B35" s="75" t="s">
        <v>322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5">
      <c r="A36" s="75" t="s">
        <v>180</v>
      </c>
      <c r="B36" s="75" t="s">
        <v>321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5">
      <c r="A37" s="75"/>
      <c r="B37" s="75" t="s">
        <v>322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5">
      <c r="A38" s="75" t="s">
        <v>181</v>
      </c>
      <c r="B38" s="75" t="s">
        <v>321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5">
      <c r="A39" s="75"/>
      <c r="B39" s="75" t="s">
        <v>322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5">
      <c r="A40" s="75" t="s">
        <v>185</v>
      </c>
      <c r="B40" s="75" t="s">
        <v>321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5">
      <c r="A41" s="75"/>
      <c r="B41" s="75" t="s">
        <v>322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5">
      <c r="A42" s="75" t="s">
        <v>189</v>
      </c>
      <c r="B42" s="75" t="s">
        <v>321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5">
      <c r="A43" s="75"/>
      <c r="B43" s="75" t="s">
        <v>322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o5/SwjI44WQ2gKD3WbFKTwhqxoVwwu85gjMXdz7froikscuvDBh3m+LQ6SoEf93CPzbvKBo0WFCrMQNN+MHMmw==" saltValue="nc0BN2lEwZ11UHahxmTb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21" zoomScale="70" zoomScaleNormal="70" workbookViewId="0">
      <selection activeCell="C49" sqref="C49"/>
    </sheetView>
  </sheetViews>
  <sheetFormatPr defaultColWidth="12.81640625" defaultRowHeight="12.5" x14ac:dyDescent="0.25"/>
  <cols>
    <col min="1" max="1" width="22.54296875" style="67" customWidth="1"/>
    <col min="2" max="2" width="58.90625" style="67" bestFit="1" customWidth="1"/>
    <col min="3" max="15" width="15" style="67" customWidth="1"/>
    <col min="16" max="16" width="12.81640625" style="67" customWidth="1"/>
    <col min="17" max="16384" width="12.81640625" style="67"/>
  </cols>
  <sheetData>
    <row r="1" spans="1:15" ht="35.25" customHeight="1" x14ac:dyDescent="0.3">
      <c r="A1" s="57"/>
      <c r="B1" s="57"/>
      <c r="C1" s="62" t="s">
        <v>67</v>
      </c>
      <c r="D1" s="62" t="s">
        <v>77</v>
      </c>
      <c r="E1" s="62" t="s">
        <v>78</v>
      </c>
      <c r="F1" s="62" t="s">
        <v>79</v>
      </c>
      <c r="G1" s="62" t="s">
        <v>80</v>
      </c>
      <c r="H1" s="62" t="s">
        <v>58</v>
      </c>
      <c r="I1" s="62" t="s">
        <v>59</v>
      </c>
      <c r="J1" s="62" t="s">
        <v>60</v>
      </c>
      <c r="K1" s="62" t="s">
        <v>61</v>
      </c>
      <c r="L1" s="62" t="s">
        <v>112</v>
      </c>
      <c r="M1" s="62" t="s">
        <v>113</v>
      </c>
      <c r="N1" s="62" t="s">
        <v>114</v>
      </c>
      <c r="O1" s="62" t="s">
        <v>115</v>
      </c>
    </row>
    <row r="2" spans="1:15" ht="13" customHeight="1" x14ac:dyDescent="0.3">
      <c r="A2" s="57" t="s">
        <v>323</v>
      </c>
    </row>
    <row r="3" spans="1:15" x14ac:dyDescent="0.25">
      <c r="B3" s="7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7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7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7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7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7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5">
      <c r="B9" s="7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5">
      <c r="B10" s="7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7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7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7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7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75" t="s">
        <v>192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ht="13" customHeight="1" x14ac:dyDescent="0.3">
      <c r="A17" s="57" t="s">
        <v>324</v>
      </c>
      <c r="B17" s="71"/>
    </row>
    <row r="18" spans="1:15" x14ac:dyDescent="0.25">
      <c r="B18" s="75" t="s">
        <v>172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5">
      <c r="B19" s="75" t="s">
        <v>173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5">
      <c r="B20" s="75" t="s">
        <v>174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5">
      <c r="B21" s="75" t="s">
        <v>182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1" customFormat="1" ht="13" customHeight="1" x14ac:dyDescent="0.3">
      <c r="A23" s="91" t="s">
        <v>235</v>
      </c>
    </row>
    <row r="24" spans="1:15" ht="52" customHeight="1" x14ac:dyDescent="0.3">
      <c r="A24" s="57"/>
      <c r="B24" s="57"/>
      <c r="C24" s="62" t="s">
        <v>67</v>
      </c>
      <c r="D24" s="62" t="s">
        <v>77</v>
      </c>
      <c r="E24" s="62" t="s">
        <v>78</v>
      </c>
      <c r="F24" s="62" t="s">
        <v>79</v>
      </c>
      <c r="G24" s="62" t="s">
        <v>80</v>
      </c>
      <c r="H24" s="62" t="s">
        <v>58</v>
      </c>
      <c r="I24" s="62" t="s">
        <v>59</v>
      </c>
      <c r="J24" s="62" t="s">
        <v>60</v>
      </c>
      <c r="K24" s="62" t="s">
        <v>61</v>
      </c>
      <c r="L24" s="62" t="s">
        <v>112</v>
      </c>
      <c r="M24" s="62" t="s">
        <v>113</v>
      </c>
      <c r="N24" s="62" t="s">
        <v>114</v>
      </c>
      <c r="O24" s="62" t="s">
        <v>115</v>
      </c>
    </row>
    <row r="25" spans="1:15" ht="13" customHeight="1" x14ac:dyDescent="0.3">
      <c r="A25" s="57" t="s">
        <v>325</v>
      </c>
    </row>
    <row r="26" spans="1:15" x14ac:dyDescent="0.25">
      <c r="B26" s="71" t="s">
        <v>170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5">
      <c r="B27" s="71" t="s">
        <v>175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5">
      <c r="B28" s="71" t="s">
        <v>176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5">
      <c r="B29" s="71" t="s">
        <v>177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5">
      <c r="B30" s="71" t="s">
        <v>178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5">
      <c r="B31" s="75" t="s">
        <v>179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5">
      <c r="B32" s="75" t="s">
        <v>180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5">
      <c r="B33" s="71" t="s">
        <v>181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7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5">
      <c r="B35" s="7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71" t="s">
        <v>188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5">
      <c r="B37" s="71" t="s">
        <v>189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75" t="s">
        <v>192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ht="13" customHeight="1" x14ac:dyDescent="0.3">
      <c r="A40" s="57" t="s">
        <v>326</v>
      </c>
      <c r="B40" s="71"/>
    </row>
    <row r="41" spans="1:15" x14ac:dyDescent="0.25">
      <c r="B41" s="75" t="s">
        <v>172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5">
      <c r="B42" s="75" t="s">
        <v>173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5">
      <c r="B43" s="75" t="s">
        <v>174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5">
      <c r="B44" s="75" t="s">
        <v>182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1" customFormat="1" ht="13" customHeight="1" x14ac:dyDescent="0.3">
      <c r="A46" s="91" t="s">
        <v>239</v>
      </c>
    </row>
    <row r="47" spans="1:15" ht="52" customHeight="1" x14ac:dyDescent="0.3">
      <c r="A47" s="57"/>
      <c r="B47" s="57"/>
      <c r="C47" s="62" t="s">
        <v>67</v>
      </c>
      <c r="D47" s="62" t="s">
        <v>77</v>
      </c>
      <c r="E47" s="62" t="s">
        <v>78</v>
      </c>
      <c r="F47" s="62" t="s">
        <v>79</v>
      </c>
      <c r="G47" s="62" t="s">
        <v>80</v>
      </c>
      <c r="H47" s="62" t="s">
        <v>58</v>
      </c>
      <c r="I47" s="62" t="s">
        <v>59</v>
      </c>
      <c r="J47" s="62" t="s">
        <v>60</v>
      </c>
      <c r="K47" s="62" t="s">
        <v>61</v>
      </c>
      <c r="L47" s="62" t="s">
        <v>112</v>
      </c>
      <c r="M47" s="62" t="s">
        <v>113</v>
      </c>
      <c r="N47" s="62" t="s">
        <v>114</v>
      </c>
      <c r="O47" s="62" t="s">
        <v>115</v>
      </c>
    </row>
    <row r="48" spans="1:15" ht="13" customHeight="1" x14ac:dyDescent="0.3">
      <c r="A48" s="57" t="s">
        <v>327</v>
      </c>
    </row>
    <row r="49" spans="1:15" x14ac:dyDescent="0.25">
      <c r="B49" s="71" t="s">
        <v>170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5">
      <c r="B50" s="71" t="s">
        <v>175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5">
      <c r="B51" s="71" t="s">
        <v>176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5">
      <c r="B52" s="71" t="s">
        <v>177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5">
      <c r="B53" s="71" t="s">
        <v>178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5">
      <c r="B54" s="75" t="s">
        <v>179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5">
      <c r="B55" s="75" t="s">
        <v>180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5">
      <c r="B56" s="71" t="s">
        <v>181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5">
      <c r="B57" s="7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5">
      <c r="B58" s="7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5">
      <c r="B59" s="71" t="s">
        <v>188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5">
      <c r="B60" s="71" t="s">
        <v>189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5">
      <c r="B61" s="75" t="s">
        <v>192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ht="13" customHeight="1" x14ac:dyDescent="0.3">
      <c r="A63" s="57" t="s">
        <v>328</v>
      </c>
      <c r="B63" s="71"/>
    </row>
    <row r="64" spans="1:15" x14ac:dyDescent="0.25">
      <c r="B64" s="75" t="s">
        <v>172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5">
      <c r="B65" s="75" t="s">
        <v>173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5">
      <c r="B66" s="75" t="s">
        <v>174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5">
      <c r="B67" s="75" t="s">
        <v>182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fk/m5zC0S3BkMWB6fRoVPu6VowfXTnz9jG0hiLVCqw59wUNoNxAb0H0RlJN/2mh4p1iTVm2cqIsh9xGNXTzKxw==" saltValue="lxVG8XSBvgJWKgn/kVHwk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67" customWidth="1"/>
    <col min="2" max="2" width="27.81640625" style="67" customWidth="1"/>
    <col min="3" max="7" width="15.54296875" style="67" customWidth="1"/>
    <col min="8" max="8" width="12.81640625" style="67" customWidth="1"/>
    <col min="9" max="16384" width="12.81640625" style="67"/>
  </cols>
  <sheetData>
    <row r="1" spans="1:7" ht="13" customHeight="1" x14ac:dyDescent="0.3">
      <c r="A1" s="57"/>
      <c r="B1" s="76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</row>
    <row r="2" spans="1:7" ht="13" customHeight="1" x14ac:dyDescent="0.3">
      <c r="A2" s="57" t="s">
        <v>329</v>
      </c>
    </row>
    <row r="3" spans="1:7" x14ac:dyDescent="0.25">
      <c r="B3" s="71" t="s">
        <v>157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ht="13" customHeight="1" x14ac:dyDescent="0.3">
      <c r="A4" s="57" t="s">
        <v>330</v>
      </c>
      <c r="B4" s="71"/>
      <c r="C4" s="120"/>
      <c r="D4" s="120"/>
      <c r="E4" s="120"/>
      <c r="F4" s="120"/>
      <c r="G4" s="120"/>
    </row>
    <row r="5" spans="1:7" x14ac:dyDescent="0.25">
      <c r="B5" s="75" t="s">
        <v>158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1" customFormat="1" ht="13" customHeight="1" x14ac:dyDescent="0.3">
      <c r="A7" s="91" t="s">
        <v>331</v>
      </c>
    </row>
    <row r="8" spans="1:7" ht="13" customHeight="1" x14ac:dyDescent="0.3">
      <c r="A8" s="57"/>
      <c r="B8" s="76"/>
      <c r="C8" s="57" t="s">
        <v>67</v>
      </c>
      <c r="D8" s="57" t="s">
        <v>77</v>
      </c>
      <c r="E8" s="57" t="s">
        <v>78</v>
      </c>
      <c r="F8" s="57" t="s">
        <v>79</v>
      </c>
      <c r="G8" s="57" t="s">
        <v>80</v>
      </c>
    </row>
    <row r="9" spans="1:7" ht="13" customHeight="1" x14ac:dyDescent="0.3">
      <c r="A9" s="57" t="s">
        <v>332</v>
      </c>
    </row>
    <row r="10" spans="1:7" x14ac:dyDescent="0.25">
      <c r="B10" s="71" t="s">
        <v>157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ht="13" customHeight="1" x14ac:dyDescent="0.3">
      <c r="A11" s="57" t="s">
        <v>333</v>
      </c>
      <c r="B11" s="71"/>
      <c r="C11" s="120"/>
      <c r="D11" s="120"/>
      <c r="E11" s="120"/>
      <c r="F11" s="120"/>
      <c r="G11" s="120"/>
    </row>
    <row r="12" spans="1:7" x14ac:dyDescent="0.25">
      <c r="B12" s="75" t="s">
        <v>158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1" customFormat="1" ht="13" customHeight="1" x14ac:dyDescent="0.3">
      <c r="A14" s="91" t="s">
        <v>334</v>
      </c>
    </row>
    <row r="15" spans="1:7" ht="13" customHeight="1" x14ac:dyDescent="0.3">
      <c r="A15" s="57"/>
      <c r="B15" s="76"/>
      <c r="C15" s="57" t="s">
        <v>67</v>
      </c>
      <c r="D15" s="57" t="s">
        <v>77</v>
      </c>
      <c r="E15" s="57" t="s">
        <v>78</v>
      </c>
      <c r="F15" s="57" t="s">
        <v>79</v>
      </c>
      <c r="G15" s="57" t="s">
        <v>80</v>
      </c>
    </row>
    <row r="16" spans="1:7" ht="13" customHeight="1" x14ac:dyDescent="0.3">
      <c r="A16" s="57" t="s">
        <v>335</v>
      </c>
    </row>
    <row r="17" spans="1:7" x14ac:dyDescent="0.25">
      <c r="B17" s="71" t="s">
        <v>157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ht="13" customHeight="1" x14ac:dyDescent="0.3">
      <c r="A18" s="57" t="s">
        <v>336</v>
      </c>
      <c r="B18" s="71"/>
      <c r="C18" s="120"/>
      <c r="D18" s="120"/>
      <c r="E18" s="120"/>
      <c r="F18" s="120"/>
      <c r="G18" s="120"/>
    </row>
    <row r="19" spans="1:7" x14ac:dyDescent="0.25">
      <c r="B19" s="75" t="s">
        <v>158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5jaiysbdYhlRtSpP/J0qSXN+PZSOa874ZEMRDFdiLRuygHPpTq1Y0vmAavZyCX7ClJFD7PLeDXxAiTOCRKlaLQ==" saltValue="Wo+wuMTkO1UZEX9x9UPXj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D112" sqref="D112"/>
    </sheetView>
  </sheetViews>
  <sheetFormatPr defaultColWidth="12.81640625" defaultRowHeight="12.5" x14ac:dyDescent="0.25"/>
  <cols>
    <col min="1" max="1" width="53" style="29" customWidth="1"/>
    <col min="2" max="2" width="30.54296875" style="29" customWidth="1"/>
    <col min="3" max="3" width="24.81640625" style="29" customWidth="1"/>
    <col min="4" max="4" width="15" style="67" customWidth="1"/>
    <col min="5" max="5" width="13.6328125" style="67" customWidth="1"/>
    <col min="6" max="6" width="14.453125" style="67" customWidth="1"/>
    <col min="7" max="7" width="12.81640625" style="67" customWidth="1"/>
    <col min="8" max="8" width="17.54296875" style="67" customWidth="1"/>
    <col min="9" max="9" width="12.81640625" style="67" customWidth="1"/>
    <col min="10" max="16384" width="12.81640625" style="67"/>
  </cols>
  <sheetData>
    <row r="1" spans="1:8" ht="13" customHeight="1" x14ac:dyDescent="0.3">
      <c r="A1" s="57" t="s">
        <v>156</v>
      </c>
      <c r="B1" s="57" t="s">
        <v>337</v>
      </c>
      <c r="C1" s="82" t="s">
        <v>338</v>
      </c>
      <c r="D1" s="57" t="s">
        <v>67</v>
      </c>
      <c r="E1" s="57" t="s">
        <v>77</v>
      </c>
      <c r="F1" s="57" t="s">
        <v>78</v>
      </c>
      <c r="G1" s="57" t="s">
        <v>79</v>
      </c>
      <c r="H1" s="57" t="s">
        <v>80</v>
      </c>
    </row>
    <row r="2" spans="1:8" x14ac:dyDescent="0.25">
      <c r="A2" s="29" t="s">
        <v>193</v>
      </c>
      <c r="B2" s="29" t="s">
        <v>81</v>
      </c>
      <c r="C2" s="29" t="s">
        <v>339</v>
      </c>
      <c r="D2" s="90">
        <v>0</v>
      </c>
      <c r="E2" s="90">
        <v>0</v>
      </c>
      <c r="F2" s="90">
        <v>0.33500000000000002</v>
      </c>
      <c r="G2" s="90">
        <v>0.33500000000000002</v>
      </c>
      <c r="H2" s="90">
        <v>0.33500000000000002</v>
      </c>
    </row>
    <row r="3" spans="1:8" x14ac:dyDescent="0.25">
      <c r="C3" s="29" t="s">
        <v>340</v>
      </c>
      <c r="D3" s="90">
        <v>0</v>
      </c>
      <c r="E3" s="90">
        <v>0</v>
      </c>
      <c r="F3" s="90">
        <v>0.53134328358208949</v>
      </c>
      <c r="G3" s="90">
        <v>0.53134328358208949</v>
      </c>
      <c r="H3" s="90">
        <v>0.53134328358208949</v>
      </c>
    </row>
    <row r="4" spans="1:8" x14ac:dyDescent="0.25">
      <c r="C4" s="29" t="s">
        <v>341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5">
      <c r="A5" s="29" t="s">
        <v>191</v>
      </c>
      <c r="B5" s="29" t="s">
        <v>342</v>
      </c>
      <c r="C5" s="29" t="s">
        <v>339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5">
      <c r="C6" s="29" t="s">
        <v>341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5">
      <c r="B7" s="29" t="s">
        <v>343</v>
      </c>
      <c r="C7" s="29" t="s">
        <v>339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5">
      <c r="C8" s="29" t="s">
        <v>341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5">
      <c r="A9" s="29" t="s">
        <v>184</v>
      </c>
      <c r="B9" s="29" t="s">
        <v>342</v>
      </c>
      <c r="C9" s="29" t="s">
        <v>339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5">
      <c r="C10" s="29" t="s">
        <v>341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5">
      <c r="B11" s="29" t="s">
        <v>343</v>
      </c>
      <c r="C11" s="29" t="s">
        <v>339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5">
      <c r="C12" s="29" t="s">
        <v>341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5">
      <c r="A13" s="29" t="s">
        <v>192</v>
      </c>
      <c r="B13" s="29" t="s">
        <v>342</v>
      </c>
      <c r="C13" s="29" t="s">
        <v>339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5">
      <c r="C14" s="29" t="s">
        <v>341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5">
      <c r="B15" s="29" t="s">
        <v>343</v>
      </c>
      <c r="C15" s="29" t="s">
        <v>339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5">
      <c r="C16" s="29" t="s">
        <v>341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5">
      <c r="A17" s="29" t="s">
        <v>169</v>
      </c>
      <c r="B17" s="29" t="s">
        <v>342</v>
      </c>
      <c r="C17" s="29" t="s">
        <v>339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5">
      <c r="C18" s="29" t="s">
        <v>341</v>
      </c>
      <c r="D18" s="90">
        <v>0</v>
      </c>
      <c r="E18" s="90">
        <v>0</v>
      </c>
      <c r="F18" s="90">
        <v>0.33500000000000002</v>
      </c>
      <c r="G18" s="90">
        <v>0.62</v>
      </c>
      <c r="H18" s="90">
        <v>0.62</v>
      </c>
    </row>
    <row r="19" spans="1:8" x14ac:dyDescent="0.25">
      <c r="B19" s="29" t="s">
        <v>343</v>
      </c>
      <c r="C19" s="29" t="s">
        <v>339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5">
      <c r="C20" s="29" t="s">
        <v>341</v>
      </c>
      <c r="D20" s="90">
        <v>0</v>
      </c>
      <c r="E20" s="90">
        <v>0</v>
      </c>
      <c r="F20" s="90">
        <v>0.33500000000000002</v>
      </c>
      <c r="G20" s="90">
        <v>0.62</v>
      </c>
      <c r="H20" s="90">
        <v>0.62</v>
      </c>
    </row>
    <row r="21" spans="1:8" x14ac:dyDescent="0.25">
      <c r="A21" s="29" t="s">
        <v>174</v>
      </c>
      <c r="B21" s="29" t="s">
        <v>74</v>
      </c>
      <c r="C21" s="29" t="s">
        <v>339</v>
      </c>
      <c r="D21" s="90">
        <v>0.7</v>
      </c>
      <c r="E21" s="90">
        <v>0</v>
      </c>
      <c r="F21" s="90">
        <v>0.33500000000000002</v>
      </c>
      <c r="G21" s="90">
        <v>0</v>
      </c>
      <c r="H21" s="90">
        <v>0</v>
      </c>
    </row>
    <row r="22" spans="1:8" x14ac:dyDescent="0.25">
      <c r="C22" s="29" t="s">
        <v>340</v>
      </c>
      <c r="D22" s="90">
        <v>0.46</v>
      </c>
      <c r="E22" s="90">
        <v>0</v>
      </c>
      <c r="F22" s="90">
        <v>0.33500000000000002</v>
      </c>
      <c r="G22" s="90">
        <v>0</v>
      </c>
      <c r="H22" s="90">
        <v>0</v>
      </c>
    </row>
    <row r="23" spans="1:8" x14ac:dyDescent="0.25">
      <c r="A23" s="29" t="s">
        <v>172</v>
      </c>
      <c r="B23" s="29" t="s">
        <v>74</v>
      </c>
      <c r="C23" s="29" t="s">
        <v>339</v>
      </c>
      <c r="D23" s="90">
        <v>0.7</v>
      </c>
      <c r="E23" s="90">
        <v>0</v>
      </c>
      <c r="F23" s="90">
        <v>0.33500000000000002</v>
      </c>
      <c r="G23" s="90">
        <v>0</v>
      </c>
      <c r="H23" s="90">
        <v>0</v>
      </c>
    </row>
    <row r="24" spans="1:8" x14ac:dyDescent="0.25">
      <c r="C24" s="29" t="s">
        <v>340</v>
      </c>
      <c r="D24" s="90">
        <v>0.46</v>
      </c>
      <c r="E24" s="90">
        <v>0</v>
      </c>
      <c r="F24" s="90">
        <v>0.33500000000000002</v>
      </c>
      <c r="G24" s="90">
        <v>0</v>
      </c>
      <c r="H24" s="90">
        <v>0</v>
      </c>
    </row>
    <row r="25" spans="1:8" x14ac:dyDescent="0.25">
      <c r="A25" s="29" t="s">
        <v>173</v>
      </c>
      <c r="B25" s="29" t="s">
        <v>74</v>
      </c>
      <c r="C25" s="29" t="s">
        <v>339</v>
      </c>
      <c r="D25" s="90">
        <v>0.7</v>
      </c>
      <c r="E25" s="90">
        <v>0</v>
      </c>
      <c r="F25" s="90">
        <v>0.33500000000000002</v>
      </c>
      <c r="G25" s="90">
        <v>0</v>
      </c>
      <c r="H25" s="90">
        <v>0</v>
      </c>
    </row>
    <row r="26" spans="1:8" x14ac:dyDescent="0.25">
      <c r="C26" s="29" t="s">
        <v>340</v>
      </c>
      <c r="D26" s="90">
        <v>0.46</v>
      </c>
      <c r="E26" s="90">
        <v>0</v>
      </c>
      <c r="F26" s="90">
        <v>0.33500000000000002</v>
      </c>
      <c r="G26" s="90">
        <v>0</v>
      </c>
      <c r="H26" s="90">
        <v>0</v>
      </c>
    </row>
    <row r="27" spans="1:8" x14ac:dyDescent="0.25">
      <c r="A27" s="29" t="s">
        <v>197</v>
      </c>
      <c r="B27" s="29" t="s">
        <v>81</v>
      </c>
      <c r="C27" s="29" t="s">
        <v>339</v>
      </c>
      <c r="D27" s="90">
        <v>1</v>
      </c>
      <c r="E27" s="90">
        <v>1</v>
      </c>
      <c r="F27" s="90">
        <v>0.33500000000000002</v>
      </c>
      <c r="G27" s="90">
        <v>1</v>
      </c>
      <c r="H27" s="90">
        <v>1</v>
      </c>
    </row>
    <row r="28" spans="1:8" x14ac:dyDescent="0.25">
      <c r="C28" s="29" t="s">
        <v>340</v>
      </c>
      <c r="D28" s="90">
        <v>0</v>
      </c>
      <c r="E28" s="90">
        <v>0</v>
      </c>
      <c r="F28" s="90">
        <v>0.33500000000000002</v>
      </c>
      <c r="G28" s="90">
        <v>0</v>
      </c>
      <c r="H28" s="90">
        <v>0</v>
      </c>
    </row>
    <row r="29" spans="1:8" x14ac:dyDescent="0.25">
      <c r="C29" s="29" t="s">
        <v>341</v>
      </c>
      <c r="D29" s="90">
        <v>0</v>
      </c>
      <c r="E29" s="90">
        <v>0</v>
      </c>
      <c r="F29" s="90">
        <v>0.33500000000000002</v>
      </c>
      <c r="G29" s="90">
        <v>0</v>
      </c>
      <c r="H29" s="90">
        <v>0</v>
      </c>
    </row>
    <row r="30" spans="1:8" x14ac:dyDescent="0.25">
      <c r="A30" s="29" t="s">
        <v>198</v>
      </c>
      <c r="B30" s="29" t="s">
        <v>81</v>
      </c>
      <c r="C30" s="29" t="s">
        <v>339</v>
      </c>
      <c r="D30" s="90">
        <v>1</v>
      </c>
      <c r="E30" s="90">
        <v>1</v>
      </c>
      <c r="F30" s="90">
        <v>0.33500000000000002</v>
      </c>
      <c r="G30" s="90">
        <v>1</v>
      </c>
      <c r="H30" s="90">
        <v>1</v>
      </c>
    </row>
    <row r="31" spans="1:8" x14ac:dyDescent="0.25">
      <c r="C31" s="29" t="s">
        <v>340</v>
      </c>
      <c r="D31" s="90">
        <v>0</v>
      </c>
      <c r="E31" s="90">
        <v>0</v>
      </c>
      <c r="F31" s="90">
        <v>0.33500000000000002</v>
      </c>
      <c r="G31" s="90">
        <v>0</v>
      </c>
      <c r="H31" s="90">
        <v>0</v>
      </c>
    </row>
    <row r="32" spans="1:8" x14ac:dyDescent="0.25">
      <c r="C32" s="29" t="s">
        <v>341</v>
      </c>
      <c r="D32" s="90">
        <v>0</v>
      </c>
      <c r="E32" s="90">
        <v>0</v>
      </c>
      <c r="F32" s="90">
        <v>0.33500000000000002</v>
      </c>
      <c r="G32" s="90">
        <v>0</v>
      </c>
      <c r="H32" s="90">
        <v>0</v>
      </c>
    </row>
    <row r="33" spans="1:8" x14ac:dyDescent="0.25">
      <c r="A33" s="29" t="s">
        <v>196</v>
      </c>
      <c r="B33" s="29" t="s">
        <v>81</v>
      </c>
      <c r="C33" s="29" t="s">
        <v>339</v>
      </c>
      <c r="D33" s="90">
        <v>1</v>
      </c>
      <c r="E33" s="90">
        <v>1</v>
      </c>
      <c r="F33" s="90">
        <v>0.33500000000000002</v>
      </c>
      <c r="G33" s="90">
        <v>1</v>
      </c>
      <c r="H33" s="90">
        <v>1</v>
      </c>
    </row>
    <row r="34" spans="1:8" x14ac:dyDescent="0.25">
      <c r="C34" s="29" t="s">
        <v>340</v>
      </c>
      <c r="D34" s="90">
        <v>0</v>
      </c>
      <c r="E34" s="90">
        <v>0</v>
      </c>
      <c r="F34" s="90">
        <v>0.33500000000000002</v>
      </c>
      <c r="G34" s="90">
        <v>0</v>
      </c>
      <c r="H34" s="90">
        <v>0</v>
      </c>
    </row>
    <row r="35" spans="1:8" x14ac:dyDescent="0.25">
      <c r="C35" s="29" t="s">
        <v>341</v>
      </c>
      <c r="D35" s="90">
        <v>0</v>
      </c>
      <c r="E35" s="90">
        <v>0</v>
      </c>
      <c r="F35" s="90">
        <v>0.33500000000000002</v>
      </c>
      <c r="G35" s="90">
        <v>0</v>
      </c>
      <c r="H35" s="90">
        <v>0</v>
      </c>
    </row>
    <row r="36" spans="1:8" x14ac:dyDescent="0.25">
      <c r="A36" s="29" t="s">
        <v>195</v>
      </c>
      <c r="B36" s="29" t="s">
        <v>81</v>
      </c>
      <c r="C36" s="29" t="s">
        <v>339</v>
      </c>
      <c r="D36" s="90">
        <v>1</v>
      </c>
      <c r="E36" s="90">
        <v>1</v>
      </c>
      <c r="F36" s="90">
        <v>0.33500000000000002</v>
      </c>
      <c r="G36" s="90">
        <v>1</v>
      </c>
      <c r="H36" s="90">
        <v>1</v>
      </c>
    </row>
    <row r="37" spans="1:8" x14ac:dyDescent="0.25">
      <c r="C37" s="29" t="s">
        <v>340</v>
      </c>
      <c r="D37" s="90">
        <v>0</v>
      </c>
      <c r="E37" s="90">
        <v>0</v>
      </c>
      <c r="F37" s="90">
        <v>0.33500000000000002</v>
      </c>
      <c r="G37" s="90">
        <v>0</v>
      </c>
      <c r="H37" s="90">
        <v>0</v>
      </c>
    </row>
    <row r="38" spans="1:8" x14ac:dyDescent="0.25">
      <c r="C38" s="29" t="s">
        <v>341</v>
      </c>
      <c r="D38" s="90">
        <v>0</v>
      </c>
      <c r="E38" s="90">
        <v>0</v>
      </c>
      <c r="F38" s="90">
        <v>0.33500000000000002</v>
      </c>
      <c r="G38" s="90">
        <v>0</v>
      </c>
      <c r="H38" s="90">
        <v>0</v>
      </c>
    </row>
    <row r="39" spans="1:8" x14ac:dyDescent="0.25">
      <c r="A39" s="29" t="s">
        <v>194</v>
      </c>
      <c r="B39" s="29" t="s">
        <v>81</v>
      </c>
      <c r="C39" s="29" t="s">
        <v>339</v>
      </c>
      <c r="D39" s="90">
        <v>1</v>
      </c>
      <c r="E39" s="90">
        <v>1</v>
      </c>
      <c r="F39" s="90">
        <v>0.33500000000000002</v>
      </c>
      <c r="G39" s="90">
        <v>1</v>
      </c>
      <c r="H39" s="90">
        <v>1</v>
      </c>
    </row>
    <row r="40" spans="1:8" x14ac:dyDescent="0.25">
      <c r="C40" s="29" t="s">
        <v>340</v>
      </c>
      <c r="D40" s="90">
        <v>0</v>
      </c>
      <c r="E40" s="90">
        <v>0</v>
      </c>
      <c r="F40" s="90">
        <v>0.33500000000000002</v>
      </c>
      <c r="G40" s="90">
        <v>0</v>
      </c>
      <c r="H40" s="90">
        <v>0</v>
      </c>
    </row>
    <row r="41" spans="1:8" x14ac:dyDescent="0.25">
      <c r="C41" s="29" t="s">
        <v>341</v>
      </c>
      <c r="D41" s="90">
        <v>0</v>
      </c>
      <c r="E41" s="90">
        <v>0</v>
      </c>
      <c r="F41" s="90">
        <v>0.33500000000000002</v>
      </c>
      <c r="G41" s="90">
        <v>0</v>
      </c>
      <c r="H41" s="90">
        <v>0</v>
      </c>
    </row>
    <row r="42" spans="1:8" x14ac:dyDescent="0.25">
      <c r="A42" s="29" t="s">
        <v>200</v>
      </c>
      <c r="B42" s="29" t="s">
        <v>81</v>
      </c>
      <c r="C42" s="29" t="s">
        <v>339</v>
      </c>
      <c r="D42" s="90">
        <v>0.3</v>
      </c>
      <c r="E42" s="90">
        <v>0.3</v>
      </c>
      <c r="F42" s="90">
        <v>0.33500000000000002</v>
      </c>
      <c r="G42" s="90">
        <v>0.3</v>
      </c>
      <c r="H42" s="90">
        <v>0.3</v>
      </c>
    </row>
    <row r="43" spans="1:8" x14ac:dyDescent="0.25">
      <c r="C43" s="29" t="s">
        <v>340</v>
      </c>
      <c r="D43" s="90">
        <v>0.5</v>
      </c>
      <c r="E43" s="90">
        <v>0.5</v>
      </c>
      <c r="F43" s="90">
        <v>0.33500000000000002</v>
      </c>
      <c r="G43" s="90">
        <v>0.5</v>
      </c>
      <c r="H43" s="90">
        <v>0.5</v>
      </c>
    </row>
    <row r="44" spans="1:8" x14ac:dyDescent="0.25">
      <c r="C44" s="29" t="s">
        <v>341</v>
      </c>
      <c r="D44" s="90">
        <v>0.65</v>
      </c>
      <c r="E44" s="90">
        <v>0.65</v>
      </c>
      <c r="F44" s="90">
        <v>0.33500000000000002</v>
      </c>
      <c r="G44" s="90">
        <v>0.65</v>
      </c>
      <c r="H44" s="90">
        <v>0.65</v>
      </c>
    </row>
    <row r="45" spans="1:8" x14ac:dyDescent="0.25">
      <c r="B45" s="29" t="s">
        <v>82</v>
      </c>
      <c r="C45" s="29" t="s">
        <v>339</v>
      </c>
      <c r="D45" s="90">
        <v>0.3</v>
      </c>
      <c r="E45" s="90">
        <v>0.3</v>
      </c>
      <c r="F45" s="90">
        <v>0.33500000000000002</v>
      </c>
      <c r="G45" s="90">
        <v>0.3</v>
      </c>
      <c r="H45" s="90">
        <v>0.3</v>
      </c>
    </row>
    <row r="46" spans="1:8" x14ac:dyDescent="0.25">
      <c r="C46" s="29" t="s">
        <v>340</v>
      </c>
      <c r="D46" s="90">
        <v>0.49</v>
      </c>
      <c r="E46" s="90">
        <v>0.49</v>
      </c>
      <c r="F46" s="90">
        <v>0.33500000000000002</v>
      </c>
      <c r="G46" s="90">
        <v>0.49</v>
      </c>
      <c r="H46" s="90">
        <v>0.49</v>
      </c>
    </row>
    <row r="47" spans="1:8" x14ac:dyDescent="0.25">
      <c r="C47" s="29" t="s">
        <v>341</v>
      </c>
      <c r="D47" s="90">
        <v>0.52</v>
      </c>
      <c r="E47" s="90">
        <v>0.52</v>
      </c>
      <c r="F47" s="90">
        <v>0.33500000000000002</v>
      </c>
      <c r="G47" s="90">
        <v>0.52</v>
      </c>
      <c r="H47" s="90">
        <v>0.52</v>
      </c>
    </row>
    <row r="48" spans="1:8" x14ac:dyDescent="0.25">
      <c r="A48" s="29" t="s">
        <v>190</v>
      </c>
      <c r="B48" s="29" t="s">
        <v>81</v>
      </c>
      <c r="C48" s="29" t="s">
        <v>339</v>
      </c>
      <c r="D48" s="90">
        <v>0.88</v>
      </c>
      <c r="E48" s="90">
        <v>0.88</v>
      </c>
      <c r="F48" s="90">
        <v>0.33500000000000002</v>
      </c>
      <c r="G48" s="90">
        <v>0.88</v>
      </c>
      <c r="H48" s="90">
        <v>0.88</v>
      </c>
    </row>
    <row r="49" spans="1:8" x14ac:dyDescent="0.25">
      <c r="C49" s="29" t="s">
        <v>340</v>
      </c>
      <c r="D49" s="90">
        <v>0.93</v>
      </c>
      <c r="E49" s="90">
        <v>0.93</v>
      </c>
      <c r="F49" s="90">
        <v>0.33500000000000002</v>
      </c>
      <c r="G49" s="90">
        <v>0.93</v>
      </c>
      <c r="H49" s="90">
        <v>0.93</v>
      </c>
    </row>
    <row r="50" spans="1:8" x14ac:dyDescent="0.25">
      <c r="A50" s="29" t="s">
        <v>199</v>
      </c>
      <c r="B50" s="29" t="s">
        <v>81</v>
      </c>
      <c r="C50" s="29" t="s">
        <v>339</v>
      </c>
      <c r="D50" s="90">
        <v>1</v>
      </c>
      <c r="E50" s="90">
        <v>1</v>
      </c>
      <c r="F50" s="90">
        <v>0.33500000000000002</v>
      </c>
      <c r="G50" s="90">
        <v>1</v>
      </c>
      <c r="H50" s="90">
        <v>1</v>
      </c>
    </row>
    <row r="51" spans="1:8" x14ac:dyDescent="0.25">
      <c r="C51" s="29" t="s">
        <v>340</v>
      </c>
      <c r="D51" s="90">
        <v>0.86</v>
      </c>
      <c r="E51" s="90">
        <v>0.86</v>
      </c>
      <c r="F51" s="90">
        <v>0.33500000000000002</v>
      </c>
      <c r="G51" s="90">
        <v>0.86</v>
      </c>
      <c r="H51" s="90">
        <v>0.86</v>
      </c>
    </row>
    <row r="52" spans="1:8" x14ac:dyDescent="0.25">
      <c r="A52" s="29" t="s">
        <v>183</v>
      </c>
      <c r="B52" s="29" t="s">
        <v>72</v>
      </c>
      <c r="C52" s="29" t="s">
        <v>339</v>
      </c>
      <c r="D52" s="90">
        <v>0.57999999999999996</v>
      </c>
      <c r="E52" s="90">
        <v>0.57999999999999996</v>
      </c>
      <c r="F52" s="90">
        <v>0.33500000000000002</v>
      </c>
      <c r="G52" s="90">
        <v>0</v>
      </c>
      <c r="H52" s="90">
        <v>0</v>
      </c>
    </row>
    <row r="53" spans="1:8" x14ac:dyDescent="0.25">
      <c r="C53" s="29" t="s">
        <v>340</v>
      </c>
      <c r="D53" s="90">
        <v>0.51</v>
      </c>
      <c r="E53" s="90">
        <v>0.51</v>
      </c>
      <c r="F53" s="90">
        <v>0.33500000000000002</v>
      </c>
      <c r="G53" s="90">
        <v>0</v>
      </c>
      <c r="H53" s="90">
        <v>0</v>
      </c>
    </row>
    <row r="55" spans="1:8" s="92" customFormat="1" ht="13" customHeight="1" x14ac:dyDescent="0.3">
      <c r="A55" s="95" t="s">
        <v>331</v>
      </c>
      <c r="B55" s="96"/>
      <c r="C55" s="96"/>
    </row>
    <row r="56" spans="1:8" ht="13" customHeight="1" x14ac:dyDescent="0.3">
      <c r="A56" s="57" t="s">
        <v>156</v>
      </c>
      <c r="B56" s="57" t="s">
        <v>337</v>
      </c>
      <c r="C56" s="82" t="s">
        <v>338</v>
      </c>
      <c r="D56" s="57" t="s">
        <v>67</v>
      </c>
      <c r="E56" s="57" t="s">
        <v>77</v>
      </c>
      <c r="F56" s="57" t="s">
        <v>78</v>
      </c>
      <c r="G56" s="57" t="s">
        <v>79</v>
      </c>
      <c r="H56" s="57" t="s">
        <v>80</v>
      </c>
    </row>
    <row r="57" spans="1:8" x14ac:dyDescent="0.25">
      <c r="A57" s="29" t="s">
        <v>193</v>
      </c>
      <c r="B57" s="29" t="s">
        <v>81</v>
      </c>
      <c r="C57" s="29" t="s">
        <v>339</v>
      </c>
      <c r="D57" s="90">
        <f t="shared" ref="D57:H66" si="0">D2*0.9</f>
        <v>0</v>
      </c>
      <c r="E57" s="90">
        <f t="shared" si="0"/>
        <v>0</v>
      </c>
      <c r="F57" s="90">
        <f t="shared" si="0"/>
        <v>0.30150000000000005</v>
      </c>
      <c r="G57" s="90">
        <f t="shared" si="0"/>
        <v>0.30150000000000005</v>
      </c>
      <c r="H57" s="90">
        <f t="shared" si="0"/>
        <v>0.30150000000000005</v>
      </c>
    </row>
    <row r="58" spans="1:8" x14ac:dyDescent="0.25">
      <c r="C58" s="29" t="s">
        <v>340</v>
      </c>
      <c r="D58" s="90">
        <f t="shared" si="0"/>
        <v>0</v>
      </c>
      <c r="E58" s="90">
        <f t="shared" si="0"/>
        <v>0</v>
      </c>
      <c r="F58" s="90">
        <f t="shared" si="0"/>
        <v>0.47820895522388057</v>
      </c>
      <c r="G58" s="90">
        <f t="shared" si="0"/>
        <v>0.47820895522388057</v>
      </c>
      <c r="H58" s="90">
        <f t="shared" si="0"/>
        <v>0.47820895522388057</v>
      </c>
    </row>
    <row r="59" spans="1:8" x14ac:dyDescent="0.25">
      <c r="C59" s="29" t="s">
        <v>341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5">
      <c r="A60" s="29" t="s">
        <v>191</v>
      </c>
      <c r="B60" s="29" t="s">
        <v>342</v>
      </c>
      <c r="C60" s="29" t="s">
        <v>339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5">
      <c r="C61" s="29" t="s">
        <v>341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5">
      <c r="B62" s="29" t="s">
        <v>343</v>
      </c>
      <c r="C62" s="29" t="s">
        <v>339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5">
      <c r="C63" s="29" t="s">
        <v>341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5">
      <c r="A64" s="29" t="s">
        <v>184</v>
      </c>
      <c r="B64" s="29" t="s">
        <v>342</v>
      </c>
      <c r="C64" s="29" t="s">
        <v>339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5">
      <c r="C65" s="29" t="s">
        <v>341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5">
      <c r="B66" s="29" t="s">
        <v>343</v>
      </c>
      <c r="C66" s="29" t="s">
        <v>339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5">
      <c r="C67" s="29" t="s">
        <v>341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5">
      <c r="A68" s="29" t="s">
        <v>192</v>
      </c>
      <c r="B68" s="29" t="s">
        <v>342</v>
      </c>
      <c r="C68" s="29" t="s">
        <v>339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5">
      <c r="C69" s="29" t="s">
        <v>341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5">
      <c r="B70" s="29" t="s">
        <v>343</v>
      </c>
      <c r="C70" s="29" t="s">
        <v>339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5">
      <c r="C71" s="29" t="s">
        <v>341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5">
      <c r="A72" s="29" t="s">
        <v>169</v>
      </c>
      <c r="B72" s="29" t="s">
        <v>342</v>
      </c>
      <c r="C72" s="29" t="s">
        <v>339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5">
      <c r="C73" s="29" t="s">
        <v>341</v>
      </c>
      <c r="D73" s="90">
        <f t="shared" si="1"/>
        <v>0</v>
      </c>
      <c r="E73" s="90">
        <f t="shared" si="1"/>
        <v>0</v>
      </c>
      <c r="F73" s="90">
        <f t="shared" si="1"/>
        <v>0.30150000000000005</v>
      </c>
      <c r="G73" s="90">
        <f t="shared" si="1"/>
        <v>0.55800000000000005</v>
      </c>
      <c r="H73" s="90">
        <f t="shared" si="1"/>
        <v>0.55800000000000005</v>
      </c>
    </row>
    <row r="74" spans="1:8" x14ac:dyDescent="0.25">
      <c r="B74" s="29" t="s">
        <v>343</v>
      </c>
      <c r="C74" s="29" t="s">
        <v>339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5">
      <c r="C75" s="29" t="s">
        <v>341</v>
      </c>
      <c r="D75" s="90">
        <f t="shared" si="1"/>
        <v>0</v>
      </c>
      <c r="E75" s="90">
        <f t="shared" si="1"/>
        <v>0</v>
      </c>
      <c r="F75" s="90">
        <f t="shared" si="1"/>
        <v>0.30150000000000005</v>
      </c>
      <c r="G75" s="90">
        <f t="shared" si="1"/>
        <v>0.55800000000000005</v>
      </c>
      <c r="H75" s="90">
        <f t="shared" si="1"/>
        <v>0.55800000000000005</v>
      </c>
    </row>
    <row r="76" spans="1:8" x14ac:dyDescent="0.25">
      <c r="A76" s="29" t="s">
        <v>174</v>
      </c>
      <c r="B76" s="29" t="s">
        <v>74</v>
      </c>
      <c r="C76" s="29" t="s">
        <v>339</v>
      </c>
      <c r="D76" s="90">
        <f t="shared" si="1"/>
        <v>0.63</v>
      </c>
      <c r="E76" s="90">
        <f t="shared" si="1"/>
        <v>0</v>
      </c>
      <c r="F76" s="90">
        <f t="shared" si="1"/>
        <v>0.30150000000000005</v>
      </c>
      <c r="G76" s="90">
        <f t="shared" si="1"/>
        <v>0</v>
      </c>
      <c r="H76" s="90">
        <f t="shared" si="1"/>
        <v>0</v>
      </c>
    </row>
    <row r="77" spans="1:8" x14ac:dyDescent="0.25">
      <c r="C77" s="29" t="s">
        <v>340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0.30150000000000005</v>
      </c>
      <c r="G77" s="90">
        <f t="shared" si="2"/>
        <v>0</v>
      </c>
      <c r="H77" s="90">
        <f t="shared" si="2"/>
        <v>0</v>
      </c>
    </row>
    <row r="78" spans="1:8" x14ac:dyDescent="0.25">
      <c r="A78" s="29" t="s">
        <v>172</v>
      </c>
      <c r="B78" s="29" t="s">
        <v>74</v>
      </c>
      <c r="C78" s="29" t="s">
        <v>339</v>
      </c>
      <c r="D78" s="90">
        <f t="shared" si="2"/>
        <v>0.63</v>
      </c>
      <c r="E78" s="90">
        <f t="shared" si="2"/>
        <v>0</v>
      </c>
      <c r="F78" s="90">
        <f t="shared" si="2"/>
        <v>0.30150000000000005</v>
      </c>
      <c r="G78" s="90">
        <f t="shared" si="2"/>
        <v>0</v>
      </c>
      <c r="H78" s="90">
        <f t="shared" si="2"/>
        <v>0</v>
      </c>
    </row>
    <row r="79" spans="1:8" x14ac:dyDescent="0.25">
      <c r="C79" s="29" t="s">
        <v>340</v>
      </c>
      <c r="D79" s="90">
        <f t="shared" si="2"/>
        <v>0.41400000000000003</v>
      </c>
      <c r="E79" s="90">
        <f t="shared" si="2"/>
        <v>0</v>
      </c>
      <c r="F79" s="90">
        <f t="shared" si="2"/>
        <v>0.30150000000000005</v>
      </c>
      <c r="G79" s="90">
        <f t="shared" si="2"/>
        <v>0</v>
      </c>
      <c r="H79" s="90">
        <f t="shared" si="2"/>
        <v>0</v>
      </c>
    </row>
    <row r="80" spans="1:8" x14ac:dyDescent="0.25">
      <c r="A80" s="29" t="s">
        <v>173</v>
      </c>
      <c r="B80" s="29" t="s">
        <v>74</v>
      </c>
      <c r="C80" s="29" t="s">
        <v>339</v>
      </c>
      <c r="D80" s="90">
        <f t="shared" si="2"/>
        <v>0.63</v>
      </c>
      <c r="E80" s="90">
        <f t="shared" si="2"/>
        <v>0</v>
      </c>
      <c r="F80" s="90">
        <f t="shared" si="2"/>
        <v>0.30150000000000005</v>
      </c>
      <c r="G80" s="90">
        <f t="shared" si="2"/>
        <v>0</v>
      </c>
      <c r="H80" s="90">
        <f t="shared" si="2"/>
        <v>0</v>
      </c>
    </row>
    <row r="81" spans="1:8" x14ac:dyDescent="0.25">
      <c r="C81" s="29" t="s">
        <v>340</v>
      </c>
      <c r="D81" s="90">
        <f t="shared" si="2"/>
        <v>0.41400000000000003</v>
      </c>
      <c r="E81" s="90">
        <f t="shared" si="2"/>
        <v>0</v>
      </c>
      <c r="F81" s="90">
        <f t="shared" si="2"/>
        <v>0.30150000000000005</v>
      </c>
      <c r="G81" s="90">
        <f t="shared" si="2"/>
        <v>0</v>
      </c>
      <c r="H81" s="90">
        <f t="shared" si="2"/>
        <v>0</v>
      </c>
    </row>
    <row r="82" spans="1:8" x14ac:dyDescent="0.25">
      <c r="A82" s="29" t="s">
        <v>197</v>
      </c>
      <c r="B82" s="29" t="s">
        <v>81</v>
      </c>
      <c r="C82" s="29" t="s">
        <v>339</v>
      </c>
      <c r="D82" s="90">
        <f t="shared" si="2"/>
        <v>0.9</v>
      </c>
      <c r="E82" s="90">
        <f t="shared" si="2"/>
        <v>0.9</v>
      </c>
      <c r="F82" s="90">
        <f t="shared" si="2"/>
        <v>0.30150000000000005</v>
      </c>
      <c r="G82" s="90">
        <f t="shared" si="2"/>
        <v>0.9</v>
      </c>
      <c r="H82" s="90">
        <f t="shared" si="2"/>
        <v>0.9</v>
      </c>
    </row>
    <row r="83" spans="1:8" x14ac:dyDescent="0.25">
      <c r="C83" s="29" t="s">
        <v>340</v>
      </c>
      <c r="D83" s="90">
        <f t="shared" si="2"/>
        <v>0</v>
      </c>
      <c r="E83" s="90">
        <f t="shared" si="2"/>
        <v>0</v>
      </c>
      <c r="F83" s="90">
        <f t="shared" si="2"/>
        <v>0.30150000000000005</v>
      </c>
      <c r="G83" s="90">
        <f t="shared" si="2"/>
        <v>0</v>
      </c>
      <c r="H83" s="90">
        <f t="shared" si="2"/>
        <v>0</v>
      </c>
    </row>
    <row r="84" spans="1:8" x14ac:dyDescent="0.25">
      <c r="C84" s="29" t="s">
        <v>341</v>
      </c>
      <c r="D84" s="90">
        <f t="shared" si="2"/>
        <v>0</v>
      </c>
      <c r="E84" s="90">
        <f t="shared" si="2"/>
        <v>0</v>
      </c>
      <c r="F84" s="90">
        <f t="shared" si="2"/>
        <v>0.30150000000000005</v>
      </c>
      <c r="G84" s="90">
        <f t="shared" si="2"/>
        <v>0</v>
      </c>
      <c r="H84" s="90">
        <f t="shared" si="2"/>
        <v>0</v>
      </c>
    </row>
    <row r="85" spans="1:8" x14ac:dyDescent="0.25">
      <c r="A85" s="29" t="s">
        <v>198</v>
      </c>
      <c r="B85" s="29" t="s">
        <v>81</v>
      </c>
      <c r="C85" s="29" t="s">
        <v>339</v>
      </c>
      <c r="D85" s="90">
        <f t="shared" si="2"/>
        <v>0.9</v>
      </c>
      <c r="E85" s="90">
        <f t="shared" si="2"/>
        <v>0.9</v>
      </c>
      <c r="F85" s="90">
        <f t="shared" si="2"/>
        <v>0.30150000000000005</v>
      </c>
      <c r="G85" s="90">
        <f t="shared" si="2"/>
        <v>0.9</v>
      </c>
      <c r="H85" s="90">
        <f t="shared" si="2"/>
        <v>0.9</v>
      </c>
    </row>
    <row r="86" spans="1:8" x14ac:dyDescent="0.25">
      <c r="C86" s="29" t="s">
        <v>340</v>
      </c>
      <c r="D86" s="90">
        <f t="shared" si="2"/>
        <v>0</v>
      </c>
      <c r="E86" s="90">
        <f t="shared" si="2"/>
        <v>0</v>
      </c>
      <c r="F86" s="90">
        <f t="shared" si="2"/>
        <v>0.30150000000000005</v>
      </c>
      <c r="G86" s="90">
        <f t="shared" si="2"/>
        <v>0</v>
      </c>
      <c r="H86" s="90">
        <f t="shared" si="2"/>
        <v>0</v>
      </c>
    </row>
    <row r="87" spans="1:8" x14ac:dyDescent="0.25">
      <c r="C87" s="29" t="s">
        <v>341</v>
      </c>
      <c r="D87" s="90">
        <f t="shared" ref="D87:H96" si="3">D32*0.9</f>
        <v>0</v>
      </c>
      <c r="E87" s="90">
        <f t="shared" si="3"/>
        <v>0</v>
      </c>
      <c r="F87" s="90">
        <f t="shared" si="3"/>
        <v>0.30150000000000005</v>
      </c>
      <c r="G87" s="90">
        <f t="shared" si="3"/>
        <v>0</v>
      </c>
      <c r="H87" s="90">
        <f t="shared" si="3"/>
        <v>0</v>
      </c>
    </row>
    <row r="88" spans="1:8" x14ac:dyDescent="0.25">
      <c r="A88" s="29" t="s">
        <v>196</v>
      </c>
      <c r="B88" s="29" t="s">
        <v>81</v>
      </c>
      <c r="C88" s="29" t="s">
        <v>339</v>
      </c>
      <c r="D88" s="90">
        <f t="shared" si="3"/>
        <v>0.9</v>
      </c>
      <c r="E88" s="90">
        <f t="shared" si="3"/>
        <v>0.9</v>
      </c>
      <c r="F88" s="90">
        <f t="shared" si="3"/>
        <v>0.30150000000000005</v>
      </c>
      <c r="G88" s="90">
        <f t="shared" si="3"/>
        <v>0.9</v>
      </c>
      <c r="H88" s="90">
        <f t="shared" si="3"/>
        <v>0.9</v>
      </c>
    </row>
    <row r="89" spans="1:8" x14ac:dyDescent="0.25">
      <c r="C89" s="29" t="s">
        <v>340</v>
      </c>
      <c r="D89" s="90">
        <f t="shared" si="3"/>
        <v>0</v>
      </c>
      <c r="E89" s="90">
        <f t="shared" si="3"/>
        <v>0</v>
      </c>
      <c r="F89" s="90">
        <f t="shared" si="3"/>
        <v>0.30150000000000005</v>
      </c>
      <c r="G89" s="90">
        <f t="shared" si="3"/>
        <v>0</v>
      </c>
      <c r="H89" s="90">
        <f t="shared" si="3"/>
        <v>0</v>
      </c>
    </row>
    <row r="90" spans="1:8" x14ac:dyDescent="0.25">
      <c r="C90" s="29" t="s">
        <v>341</v>
      </c>
      <c r="D90" s="90">
        <f t="shared" si="3"/>
        <v>0</v>
      </c>
      <c r="E90" s="90">
        <f t="shared" si="3"/>
        <v>0</v>
      </c>
      <c r="F90" s="90">
        <f t="shared" si="3"/>
        <v>0.30150000000000005</v>
      </c>
      <c r="G90" s="90">
        <f t="shared" si="3"/>
        <v>0</v>
      </c>
      <c r="H90" s="90">
        <f t="shared" si="3"/>
        <v>0</v>
      </c>
    </row>
    <row r="91" spans="1:8" x14ac:dyDescent="0.25">
      <c r="A91" s="29" t="s">
        <v>195</v>
      </c>
      <c r="B91" s="29" t="s">
        <v>81</v>
      </c>
      <c r="C91" s="29" t="s">
        <v>339</v>
      </c>
      <c r="D91" s="90">
        <f t="shared" si="3"/>
        <v>0.9</v>
      </c>
      <c r="E91" s="90">
        <f t="shared" si="3"/>
        <v>0.9</v>
      </c>
      <c r="F91" s="90">
        <f t="shared" si="3"/>
        <v>0.30150000000000005</v>
      </c>
      <c r="G91" s="90">
        <f t="shared" si="3"/>
        <v>0.9</v>
      </c>
      <c r="H91" s="90">
        <f t="shared" si="3"/>
        <v>0.9</v>
      </c>
    </row>
    <row r="92" spans="1:8" x14ac:dyDescent="0.25">
      <c r="C92" s="29" t="s">
        <v>340</v>
      </c>
      <c r="D92" s="90">
        <f t="shared" si="3"/>
        <v>0</v>
      </c>
      <c r="E92" s="90">
        <f t="shared" si="3"/>
        <v>0</v>
      </c>
      <c r="F92" s="90">
        <f t="shared" si="3"/>
        <v>0.30150000000000005</v>
      </c>
      <c r="G92" s="90">
        <f t="shared" si="3"/>
        <v>0</v>
      </c>
      <c r="H92" s="90">
        <f t="shared" si="3"/>
        <v>0</v>
      </c>
    </row>
    <row r="93" spans="1:8" x14ac:dyDescent="0.25">
      <c r="C93" s="29" t="s">
        <v>341</v>
      </c>
      <c r="D93" s="90">
        <f t="shared" si="3"/>
        <v>0</v>
      </c>
      <c r="E93" s="90">
        <f t="shared" si="3"/>
        <v>0</v>
      </c>
      <c r="F93" s="90">
        <f t="shared" si="3"/>
        <v>0.30150000000000005</v>
      </c>
      <c r="G93" s="90">
        <f t="shared" si="3"/>
        <v>0</v>
      </c>
      <c r="H93" s="90">
        <f t="shared" si="3"/>
        <v>0</v>
      </c>
    </row>
    <row r="94" spans="1:8" x14ac:dyDescent="0.25">
      <c r="A94" s="29" t="s">
        <v>194</v>
      </c>
      <c r="B94" s="29" t="s">
        <v>81</v>
      </c>
      <c r="C94" s="29" t="s">
        <v>339</v>
      </c>
      <c r="D94" s="90">
        <f t="shared" si="3"/>
        <v>0.9</v>
      </c>
      <c r="E94" s="90">
        <f t="shared" si="3"/>
        <v>0.9</v>
      </c>
      <c r="F94" s="90">
        <f t="shared" si="3"/>
        <v>0.30150000000000005</v>
      </c>
      <c r="G94" s="90">
        <f t="shared" si="3"/>
        <v>0.9</v>
      </c>
      <c r="H94" s="90">
        <f t="shared" si="3"/>
        <v>0.9</v>
      </c>
    </row>
    <row r="95" spans="1:8" x14ac:dyDescent="0.25">
      <c r="C95" s="29" t="s">
        <v>340</v>
      </c>
      <c r="D95" s="90">
        <f t="shared" si="3"/>
        <v>0</v>
      </c>
      <c r="E95" s="90">
        <f t="shared" si="3"/>
        <v>0</v>
      </c>
      <c r="F95" s="90">
        <f t="shared" si="3"/>
        <v>0.30150000000000005</v>
      </c>
      <c r="G95" s="90">
        <f t="shared" si="3"/>
        <v>0</v>
      </c>
      <c r="H95" s="90">
        <f t="shared" si="3"/>
        <v>0</v>
      </c>
    </row>
    <row r="96" spans="1:8" x14ac:dyDescent="0.25">
      <c r="C96" s="29" t="s">
        <v>341</v>
      </c>
      <c r="D96" s="90">
        <f t="shared" si="3"/>
        <v>0</v>
      </c>
      <c r="E96" s="90">
        <f t="shared" si="3"/>
        <v>0</v>
      </c>
      <c r="F96" s="90">
        <f t="shared" si="3"/>
        <v>0.30150000000000005</v>
      </c>
      <c r="G96" s="90">
        <f t="shared" si="3"/>
        <v>0</v>
      </c>
      <c r="H96" s="90">
        <f t="shared" si="3"/>
        <v>0</v>
      </c>
    </row>
    <row r="97" spans="1:8" x14ac:dyDescent="0.25">
      <c r="A97" s="29" t="s">
        <v>200</v>
      </c>
      <c r="B97" s="29" t="s">
        <v>81</v>
      </c>
      <c r="C97" s="29" t="s">
        <v>339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0.30150000000000005</v>
      </c>
      <c r="G97" s="90">
        <f t="shared" si="4"/>
        <v>0.27</v>
      </c>
      <c r="H97" s="90">
        <f t="shared" si="4"/>
        <v>0.27</v>
      </c>
    </row>
    <row r="98" spans="1:8" x14ac:dyDescent="0.25">
      <c r="C98" s="29" t="s">
        <v>340</v>
      </c>
      <c r="D98" s="90">
        <f t="shared" si="4"/>
        <v>0.45</v>
      </c>
      <c r="E98" s="90">
        <f t="shared" si="4"/>
        <v>0.45</v>
      </c>
      <c r="F98" s="90">
        <f t="shared" si="4"/>
        <v>0.30150000000000005</v>
      </c>
      <c r="G98" s="90">
        <f t="shared" si="4"/>
        <v>0.45</v>
      </c>
      <c r="H98" s="90">
        <f t="shared" si="4"/>
        <v>0.45</v>
      </c>
    </row>
    <row r="99" spans="1:8" x14ac:dyDescent="0.25">
      <c r="C99" s="29" t="s">
        <v>341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0.30150000000000005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5">
      <c r="B100" s="29" t="s">
        <v>82</v>
      </c>
      <c r="C100" s="29" t="s">
        <v>339</v>
      </c>
      <c r="D100" s="90">
        <f t="shared" si="4"/>
        <v>0.27</v>
      </c>
      <c r="E100" s="90">
        <f t="shared" si="4"/>
        <v>0.27</v>
      </c>
      <c r="F100" s="90">
        <f t="shared" si="4"/>
        <v>0.30150000000000005</v>
      </c>
      <c r="G100" s="90">
        <f t="shared" si="4"/>
        <v>0.27</v>
      </c>
      <c r="H100" s="90">
        <f t="shared" si="4"/>
        <v>0.27</v>
      </c>
    </row>
    <row r="101" spans="1:8" x14ac:dyDescent="0.25">
      <c r="C101" s="29" t="s">
        <v>340</v>
      </c>
      <c r="D101" s="90">
        <f t="shared" si="4"/>
        <v>0.441</v>
      </c>
      <c r="E101" s="90">
        <f t="shared" si="4"/>
        <v>0.441</v>
      </c>
      <c r="F101" s="90">
        <f t="shared" si="4"/>
        <v>0.30150000000000005</v>
      </c>
      <c r="G101" s="90">
        <f t="shared" si="4"/>
        <v>0.441</v>
      </c>
      <c r="H101" s="90">
        <f t="shared" si="4"/>
        <v>0.441</v>
      </c>
    </row>
    <row r="102" spans="1:8" x14ac:dyDescent="0.25">
      <c r="C102" s="29" t="s">
        <v>341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0.30150000000000005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5">
      <c r="A103" s="29" t="s">
        <v>190</v>
      </c>
      <c r="B103" s="29" t="s">
        <v>81</v>
      </c>
      <c r="C103" s="29" t="s">
        <v>339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0.30150000000000005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5">
      <c r="C104" s="29" t="s">
        <v>340</v>
      </c>
      <c r="D104" s="90">
        <f t="shared" si="4"/>
        <v>0.83700000000000008</v>
      </c>
      <c r="E104" s="90">
        <f t="shared" si="4"/>
        <v>0.83700000000000008</v>
      </c>
      <c r="F104" s="90">
        <f t="shared" si="4"/>
        <v>0.30150000000000005</v>
      </c>
      <c r="G104" s="90">
        <f t="shared" si="4"/>
        <v>0.83700000000000008</v>
      </c>
      <c r="H104" s="90">
        <f t="shared" si="4"/>
        <v>0.83700000000000008</v>
      </c>
    </row>
    <row r="105" spans="1:8" x14ac:dyDescent="0.25">
      <c r="A105" s="29" t="s">
        <v>199</v>
      </c>
      <c r="B105" s="29" t="s">
        <v>81</v>
      </c>
      <c r="C105" s="29" t="s">
        <v>339</v>
      </c>
      <c r="D105" s="90">
        <f t="shared" si="4"/>
        <v>0.9</v>
      </c>
      <c r="E105" s="90">
        <f t="shared" si="4"/>
        <v>0.9</v>
      </c>
      <c r="F105" s="90">
        <f t="shared" si="4"/>
        <v>0.30150000000000005</v>
      </c>
      <c r="G105" s="90">
        <f t="shared" si="4"/>
        <v>0.9</v>
      </c>
      <c r="H105" s="90">
        <f t="shared" si="4"/>
        <v>0.9</v>
      </c>
    </row>
    <row r="106" spans="1:8" x14ac:dyDescent="0.25">
      <c r="C106" s="29" t="s">
        <v>340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0.30150000000000005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5">
      <c r="A107" s="29" t="s">
        <v>183</v>
      </c>
      <c r="B107" s="29" t="s">
        <v>72</v>
      </c>
      <c r="C107" s="29" t="s">
        <v>339</v>
      </c>
      <c r="D107" s="90">
        <f t="shared" ref="D107:H116" si="5">D52*0.9</f>
        <v>0.52200000000000002</v>
      </c>
      <c r="E107" s="90">
        <f t="shared" si="5"/>
        <v>0.52200000000000002</v>
      </c>
      <c r="F107" s="90">
        <f t="shared" si="5"/>
        <v>0.30150000000000005</v>
      </c>
      <c r="G107" s="90">
        <f t="shared" si="5"/>
        <v>0</v>
      </c>
      <c r="H107" s="90">
        <f t="shared" si="5"/>
        <v>0</v>
      </c>
    </row>
    <row r="108" spans="1:8" x14ac:dyDescent="0.25">
      <c r="C108" s="29" t="s">
        <v>340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0.30150000000000005</v>
      </c>
      <c r="G108" s="90">
        <f t="shared" si="5"/>
        <v>0</v>
      </c>
      <c r="H108" s="90">
        <f t="shared" si="5"/>
        <v>0</v>
      </c>
    </row>
    <row r="110" spans="1:8" s="92" customFormat="1" ht="13" customHeight="1" x14ac:dyDescent="0.3">
      <c r="A110" s="95" t="s">
        <v>334</v>
      </c>
      <c r="B110" s="96"/>
      <c r="C110" s="96"/>
    </row>
    <row r="111" spans="1:8" ht="13" customHeight="1" x14ac:dyDescent="0.3">
      <c r="A111" s="57" t="s">
        <v>156</v>
      </c>
      <c r="B111" s="57" t="s">
        <v>337</v>
      </c>
      <c r="C111" s="82" t="s">
        <v>338</v>
      </c>
      <c r="D111" s="57" t="s">
        <v>67</v>
      </c>
      <c r="E111" s="57" t="s">
        <v>77</v>
      </c>
      <c r="F111" s="57" t="s">
        <v>78</v>
      </c>
      <c r="G111" s="57" t="s">
        <v>79</v>
      </c>
      <c r="H111" s="57" t="s">
        <v>80</v>
      </c>
    </row>
    <row r="112" spans="1:8" x14ac:dyDescent="0.25">
      <c r="A112" s="29" t="s">
        <v>193</v>
      </c>
      <c r="B112" s="29" t="s">
        <v>81</v>
      </c>
      <c r="C112" s="29" t="s">
        <v>339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0.35175000000000006</v>
      </c>
      <c r="G112" s="90">
        <f t="shared" si="6"/>
        <v>0.35175000000000006</v>
      </c>
      <c r="H112" s="90">
        <f t="shared" si="6"/>
        <v>0.35175000000000006</v>
      </c>
    </row>
    <row r="113" spans="1:8" x14ac:dyDescent="0.25">
      <c r="C113" s="29" t="s">
        <v>340</v>
      </c>
      <c r="D113" s="90">
        <f t="shared" si="6"/>
        <v>0</v>
      </c>
      <c r="E113" s="90">
        <f t="shared" si="6"/>
        <v>0</v>
      </c>
      <c r="F113" s="90">
        <f t="shared" si="6"/>
        <v>0.55791044776119403</v>
      </c>
      <c r="G113" s="90">
        <f t="shared" si="6"/>
        <v>0.55791044776119403</v>
      </c>
      <c r="H113" s="90">
        <f t="shared" si="6"/>
        <v>0.55791044776119403</v>
      </c>
    </row>
    <row r="114" spans="1:8" x14ac:dyDescent="0.25">
      <c r="C114" s="29" t="s">
        <v>341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5">
      <c r="A115" s="29" t="s">
        <v>191</v>
      </c>
      <c r="B115" s="29" t="s">
        <v>342</v>
      </c>
      <c r="C115" s="29" t="s">
        <v>339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5">
      <c r="C116" s="29" t="s">
        <v>341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5">
      <c r="B117" s="29" t="s">
        <v>343</v>
      </c>
      <c r="C117" s="29" t="s">
        <v>339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5">
      <c r="C118" s="29" t="s">
        <v>341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5">
      <c r="A119" s="29" t="s">
        <v>184</v>
      </c>
      <c r="B119" s="29" t="s">
        <v>342</v>
      </c>
      <c r="C119" s="29" t="s">
        <v>339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5">
      <c r="C120" s="29" t="s">
        <v>341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5">
      <c r="B121" s="29" t="s">
        <v>343</v>
      </c>
      <c r="C121" s="29" t="s">
        <v>339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5">
      <c r="C122" s="29" t="s">
        <v>341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5">
      <c r="A123" s="29" t="s">
        <v>192</v>
      </c>
      <c r="B123" s="29" t="s">
        <v>342</v>
      </c>
      <c r="C123" s="29" t="s">
        <v>339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5">
      <c r="C124" s="29" t="s">
        <v>341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5">
      <c r="B125" s="29" t="s">
        <v>343</v>
      </c>
      <c r="C125" s="29" t="s">
        <v>339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5">
      <c r="C126" s="29" t="s">
        <v>341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5">
      <c r="A127" s="29" t="s">
        <v>169</v>
      </c>
      <c r="B127" s="29" t="s">
        <v>342</v>
      </c>
      <c r="C127" s="29" t="s">
        <v>339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5">
      <c r="C128" s="29" t="s">
        <v>341</v>
      </c>
      <c r="D128" s="90">
        <f t="shared" si="7"/>
        <v>0</v>
      </c>
      <c r="E128" s="90">
        <f t="shared" si="7"/>
        <v>0</v>
      </c>
      <c r="F128" s="90">
        <f t="shared" si="7"/>
        <v>0.35175000000000006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5">
      <c r="B129" s="29" t="s">
        <v>343</v>
      </c>
      <c r="C129" s="29" t="s">
        <v>339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5">
      <c r="C130" s="29" t="s">
        <v>341</v>
      </c>
      <c r="D130" s="90">
        <f t="shared" si="7"/>
        <v>0</v>
      </c>
      <c r="E130" s="90">
        <f t="shared" si="7"/>
        <v>0</v>
      </c>
      <c r="F130" s="90">
        <f t="shared" si="7"/>
        <v>0.35175000000000006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5">
      <c r="A131" s="29" t="s">
        <v>174</v>
      </c>
      <c r="B131" s="29" t="s">
        <v>74</v>
      </c>
      <c r="C131" s="29" t="s">
        <v>339</v>
      </c>
      <c r="D131" s="90">
        <f t="shared" si="7"/>
        <v>0.73499999999999999</v>
      </c>
      <c r="E131" s="90">
        <f t="shared" si="7"/>
        <v>0</v>
      </c>
      <c r="F131" s="90">
        <f t="shared" si="7"/>
        <v>0.35175000000000006</v>
      </c>
      <c r="G131" s="90">
        <f t="shared" si="7"/>
        <v>0</v>
      </c>
      <c r="H131" s="90">
        <f t="shared" si="7"/>
        <v>0</v>
      </c>
    </row>
    <row r="132" spans="1:8" x14ac:dyDescent="0.25">
      <c r="C132" s="29" t="s">
        <v>340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0.35175000000000006</v>
      </c>
      <c r="G132" s="90">
        <f t="shared" si="8"/>
        <v>0</v>
      </c>
      <c r="H132" s="90">
        <f t="shared" si="8"/>
        <v>0</v>
      </c>
    </row>
    <row r="133" spans="1:8" x14ac:dyDescent="0.25">
      <c r="A133" s="29" t="s">
        <v>172</v>
      </c>
      <c r="B133" s="29" t="s">
        <v>74</v>
      </c>
      <c r="C133" s="29" t="s">
        <v>339</v>
      </c>
      <c r="D133" s="90">
        <f t="shared" si="8"/>
        <v>0.73499999999999999</v>
      </c>
      <c r="E133" s="90">
        <f t="shared" si="8"/>
        <v>0</v>
      </c>
      <c r="F133" s="90">
        <f t="shared" si="8"/>
        <v>0.35175000000000006</v>
      </c>
      <c r="G133" s="90">
        <f t="shared" si="8"/>
        <v>0</v>
      </c>
      <c r="H133" s="90">
        <f t="shared" si="8"/>
        <v>0</v>
      </c>
    </row>
    <row r="134" spans="1:8" x14ac:dyDescent="0.25">
      <c r="C134" s="29" t="s">
        <v>340</v>
      </c>
      <c r="D134" s="90">
        <f t="shared" si="8"/>
        <v>0.48300000000000004</v>
      </c>
      <c r="E134" s="90">
        <f t="shared" si="8"/>
        <v>0</v>
      </c>
      <c r="F134" s="90">
        <f t="shared" si="8"/>
        <v>0.35175000000000006</v>
      </c>
      <c r="G134" s="90">
        <f t="shared" si="8"/>
        <v>0</v>
      </c>
      <c r="H134" s="90">
        <f t="shared" si="8"/>
        <v>0</v>
      </c>
    </row>
    <row r="135" spans="1:8" x14ac:dyDescent="0.25">
      <c r="A135" s="29" t="s">
        <v>173</v>
      </c>
      <c r="B135" s="29" t="s">
        <v>74</v>
      </c>
      <c r="C135" s="29" t="s">
        <v>339</v>
      </c>
      <c r="D135" s="90">
        <f t="shared" si="8"/>
        <v>0.73499999999999999</v>
      </c>
      <c r="E135" s="90">
        <f t="shared" si="8"/>
        <v>0</v>
      </c>
      <c r="F135" s="90">
        <f t="shared" si="8"/>
        <v>0.35175000000000006</v>
      </c>
      <c r="G135" s="90">
        <f t="shared" si="8"/>
        <v>0</v>
      </c>
      <c r="H135" s="90">
        <f t="shared" si="8"/>
        <v>0</v>
      </c>
    </row>
    <row r="136" spans="1:8" x14ac:dyDescent="0.25">
      <c r="C136" s="29" t="s">
        <v>340</v>
      </c>
      <c r="D136" s="90">
        <f t="shared" si="8"/>
        <v>0.48300000000000004</v>
      </c>
      <c r="E136" s="90">
        <f t="shared" si="8"/>
        <v>0</v>
      </c>
      <c r="F136" s="90">
        <f t="shared" si="8"/>
        <v>0.35175000000000006</v>
      </c>
      <c r="G136" s="90">
        <f t="shared" si="8"/>
        <v>0</v>
      </c>
      <c r="H136" s="90">
        <f t="shared" si="8"/>
        <v>0</v>
      </c>
    </row>
    <row r="137" spans="1:8" x14ac:dyDescent="0.25">
      <c r="A137" s="29" t="s">
        <v>197</v>
      </c>
      <c r="B137" s="29" t="s">
        <v>81</v>
      </c>
      <c r="C137" s="29" t="s">
        <v>339</v>
      </c>
      <c r="D137" s="90">
        <f t="shared" si="8"/>
        <v>1.05</v>
      </c>
      <c r="E137" s="90">
        <f t="shared" si="8"/>
        <v>1.05</v>
      </c>
      <c r="F137" s="90">
        <f t="shared" si="8"/>
        <v>0.35175000000000006</v>
      </c>
      <c r="G137" s="90">
        <f t="shared" si="8"/>
        <v>1.05</v>
      </c>
      <c r="H137" s="90">
        <f t="shared" si="8"/>
        <v>1.05</v>
      </c>
    </row>
    <row r="138" spans="1:8" x14ac:dyDescent="0.25">
      <c r="C138" s="29" t="s">
        <v>340</v>
      </c>
      <c r="D138" s="90">
        <f t="shared" si="8"/>
        <v>0</v>
      </c>
      <c r="E138" s="90">
        <f t="shared" si="8"/>
        <v>0</v>
      </c>
      <c r="F138" s="90">
        <f t="shared" si="8"/>
        <v>0.35175000000000006</v>
      </c>
      <c r="G138" s="90">
        <f t="shared" si="8"/>
        <v>0</v>
      </c>
      <c r="H138" s="90">
        <f t="shared" si="8"/>
        <v>0</v>
      </c>
    </row>
    <row r="139" spans="1:8" x14ac:dyDescent="0.25">
      <c r="C139" s="29" t="s">
        <v>341</v>
      </c>
      <c r="D139" s="90">
        <f t="shared" si="8"/>
        <v>0</v>
      </c>
      <c r="E139" s="90">
        <f t="shared" si="8"/>
        <v>0</v>
      </c>
      <c r="F139" s="90">
        <f t="shared" si="8"/>
        <v>0.35175000000000006</v>
      </c>
      <c r="G139" s="90">
        <f t="shared" si="8"/>
        <v>0</v>
      </c>
      <c r="H139" s="90">
        <f t="shared" si="8"/>
        <v>0</v>
      </c>
    </row>
    <row r="140" spans="1:8" x14ac:dyDescent="0.25">
      <c r="A140" s="29" t="s">
        <v>198</v>
      </c>
      <c r="B140" s="29" t="s">
        <v>81</v>
      </c>
      <c r="C140" s="29" t="s">
        <v>339</v>
      </c>
      <c r="D140" s="90">
        <f t="shared" si="8"/>
        <v>1.05</v>
      </c>
      <c r="E140" s="90">
        <f t="shared" si="8"/>
        <v>1.05</v>
      </c>
      <c r="F140" s="90">
        <f t="shared" si="8"/>
        <v>0.35175000000000006</v>
      </c>
      <c r="G140" s="90">
        <f t="shared" si="8"/>
        <v>1.05</v>
      </c>
      <c r="H140" s="90">
        <f t="shared" si="8"/>
        <v>1.05</v>
      </c>
    </row>
    <row r="141" spans="1:8" x14ac:dyDescent="0.25">
      <c r="C141" s="29" t="s">
        <v>340</v>
      </c>
      <c r="D141" s="90">
        <f t="shared" si="8"/>
        <v>0</v>
      </c>
      <c r="E141" s="90">
        <f t="shared" si="8"/>
        <v>0</v>
      </c>
      <c r="F141" s="90">
        <f t="shared" si="8"/>
        <v>0.35175000000000006</v>
      </c>
      <c r="G141" s="90">
        <f t="shared" si="8"/>
        <v>0</v>
      </c>
      <c r="H141" s="90">
        <f t="shared" si="8"/>
        <v>0</v>
      </c>
    </row>
    <row r="142" spans="1:8" x14ac:dyDescent="0.25">
      <c r="C142" s="29" t="s">
        <v>341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0.35175000000000006</v>
      </c>
      <c r="G142" s="90">
        <f t="shared" si="9"/>
        <v>0</v>
      </c>
      <c r="H142" s="90">
        <f t="shared" si="9"/>
        <v>0</v>
      </c>
    </row>
    <row r="143" spans="1:8" x14ac:dyDescent="0.25">
      <c r="A143" s="29" t="s">
        <v>196</v>
      </c>
      <c r="B143" s="29" t="s">
        <v>81</v>
      </c>
      <c r="C143" s="29" t="s">
        <v>339</v>
      </c>
      <c r="D143" s="90">
        <f t="shared" si="9"/>
        <v>1.05</v>
      </c>
      <c r="E143" s="90">
        <f t="shared" si="9"/>
        <v>1.05</v>
      </c>
      <c r="F143" s="90">
        <f t="shared" si="9"/>
        <v>0.35175000000000006</v>
      </c>
      <c r="G143" s="90">
        <f t="shared" si="9"/>
        <v>1.05</v>
      </c>
      <c r="H143" s="90">
        <f t="shared" si="9"/>
        <v>1.05</v>
      </c>
    </row>
    <row r="144" spans="1:8" x14ac:dyDescent="0.25">
      <c r="C144" s="29" t="s">
        <v>340</v>
      </c>
      <c r="D144" s="90">
        <f t="shared" si="9"/>
        <v>0</v>
      </c>
      <c r="E144" s="90">
        <f t="shared" si="9"/>
        <v>0</v>
      </c>
      <c r="F144" s="90">
        <f t="shared" si="9"/>
        <v>0.35175000000000006</v>
      </c>
      <c r="G144" s="90">
        <f t="shared" si="9"/>
        <v>0</v>
      </c>
      <c r="H144" s="90">
        <f t="shared" si="9"/>
        <v>0</v>
      </c>
    </row>
    <row r="145" spans="1:8" x14ac:dyDescent="0.25">
      <c r="C145" s="29" t="s">
        <v>341</v>
      </c>
      <c r="D145" s="90">
        <f t="shared" si="9"/>
        <v>0</v>
      </c>
      <c r="E145" s="90">
        <f t="shared" si="9"/>
        <v>0</v>
      </c>
      <c r="F145" s="90">
        <f t="shared" si="9"/>
        <v>0.35175000000000006</v>
      </c>
      <c r="G145" s="90">
        <f t="shared" si="9"/>
        <v>0</v>
      </c>
      <c r="H145" s="90">
        <f t="shared" si="9"/>
        <v>0</v>
      </c>
    </row>
    <row r="146" spans="1:8" x14ac:dyDescent="0.25">
      <c r="A146" s="29" t="s">
        <v>195</v>
      </c>
      <c r="B146" s="29" t="s">
        <v>81</v>
      </c>
      <c r="C146" s="29" t="s">
        <v>339</v>
      </c>
      <c r="D146" s="90">
        <f t="shared" si="9"/>
        <v>1.05</v>
      </c>
      <c r="E146" s="90">
        <f t="shared" si="9"/>
        <v>1.05</v>
      </c>
      <c r="F146" s="90">
        <f t="shared" si="9"/>
        <v>0.35175000000000006</v>
      </c>
      <c r="G146" s="90">
        <f t="shared" si="9"/>
        <v>1.05</v>
      </c>
      <c r="H146" s="90">
        <f t="shared" si="9"/>
        <v>1.05</v>
      </c>
    </row>
    <row r="147" spans="1:8" x14ac:dyDescent="0.25">
      <c r="C147" s="29" t="s">
        <v>340</v>
      </c>
      <c r="D147" s="90">
        <f t="shared" si="9"/>
        <v>0</v>
      </c>
      <c r="E147" s="90">
        <f t="shared" si="9"/>
        <v>0</v>
      </c>
      <c r="F147" s="90">
        <f t="shared" si="9"/>
        <v>0.35175000000000006</v>
      </c>
      <c r="G147" s="90">
        <f t="shared" si="9"/>
        <v>0</v>
      </c>
      <c r="H147" s="90">
        <f t="shared" si="9"/>
        <v>0</v>
      </c>
    </row>
    <row r="148" spans="1:8" x14ac:dyDescent="0.25">
      <c r="C148" s="29" t="s">
        <v>341</v>
      </c>
      <c r="D148" s="90">
        <f t="shared" si="9"/>
        <v>0</v>
      </c>
      <c r="E148" s="90">
        <f t="shared" si="9"/>
        <v>0</v>
      </c>
      <c r="F148" s="90">
        <f t="shared" si="9"/>
        <v>0.35175000000000006</v>
      </c>
      <c r="G148" s="90">
        <f t="shared" si="9"/>
        <v>0</v>
      </c>
      <c r="H148" s="90">
        <f t="shared" si="9"/>
        <v>0</v>
      </c>
    </row>
    <row r="149" spans="1:8" x14ac:dyDescent="0.25">
      <c r="A149" s="29" t="s">
        <v>194</v>
      </c>
      <c r="B149" s="29" t="s">
        <v>81</v>
      </c>
      <c r="C149" s="29" t="s">
        <v>339</v>
      </c>
      <c r="D149" s="90">
        <f t="shared" si="9"/>
        <v>1.05</v>
      </c>
      <c r="E149" s="90">
        <f t="shared" si="9"/>
        <v>1.05</v>
      </c>
      <c r="F149" s="90">
        <f t="shared" si="9"/>
        <v>0.35175000000000006</v>
      </c>
      <c r="G149" s="90">
        <f t="shared" si="9"/>
        <v>1.05</v>
      </c>
      <c r="H149" s="90">
        <f t="shared" si="9"/>
        <v>1.05</v>
      </c>
    </row>
    <row r="150" spans="1:8" x14ac:dyDescent="0.25">
      <c r="C150" s="29" t="s">
        <v>340</v>
      </c>
      <c r="D150" s="90">
        <f t="shared" si="9"/>
        <v>0</v>
      </c>
      <c r="E150" s="90">
        <f t="shared" si="9"/>
        <v>0</v>
      </c>
      <c r="F150" s="90">
        <f t="shared" si="9"/>
        <v>0.35175000000000006</v>
      </c>
      <c r="G150" s="90">
        <f t="shared" si="9"/>
        <v>0</v>
      </c>
      <c r="H150" s="90">
        <f t="shared" si="9"/>
        <v>0</v>
      </c>
    </row>
    <row r="151" spans="1:8" x14ac:dyDescent="0.25">
      <c r="C151" s="29" t="s">
        <v>341</v>
      </c>
      <c r="D151" s="90">
        <f t="shared" si="9"/>
        <v>0</v>
      </c>
      <c r="E151" s="90">
        <f t="shared" si="9"/>
        <v>0</v>
      </c>
      <c r="F151" s="90">
        <f t="shared" si="9"/>
        <v>0.35175000000000006</v>
      </c>
      <c r="G151" s="90">
        <f t="shared" si="9"/>
        <v>0</v>
      </c>
      <c r="H151" s="90">
        <f t="shared" si="9"/>
        <v>0</v>
      </c>
    </row>
    <row r="152" spans="1:8" x14ac:dyDescent="0.25">
      <c r="A152" s="29" t="s">
        <v>200</v>
      </c>
      <c r="B152" s="29" t="s">
        <v>81</v>
      </c>
      <c r="C152" s="29" t="s">
        <v>339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0.35175000000000006</v>
      </c>
      <c r="G152" s="90">
        <f t="shared" si="10"/>
        <v>0.315</v>
      </c>
      <c r="H152" s="90">
        <f t="shared" si="10"/>
        <v>0.315</v>
      </c>
    </row>
    <row r="153" spans="1:8" x14ac:dyDescent="0.25">
      <c r="C153" s="29" t="s">
        <v>340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0.35175000000000006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5">
      <c r="C154" s="29" t="s">
        <v>341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0.35175000000000006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5">
      <c r="B155" s="29" t="s">
        <v>82</v>
      </c>
      <c r="C155" s="29" t="s">
        <v>339</v>
      </c>
      <c r="D155" s="90">
        <f t="shared" si="10"/>
        <v>0.315</v>
      </c>
      <c r="E155" s="90">
        <f t="shared" si="10"/>
        <v>0.315</v>
      </c>
      <c r="F155" s="90">
        <f t="shared" si="10"/>
        <v>0.35175000000000006</v>
      </c>
      <c r="G155" s="90">
        <f t="shared" si="10"/>
        <v>0.315</v>
      </c>
      <c r="H155" s="90">
        <f t="shared" si="10"/>
        <v>0.315</v>
      </c>
    </row>
    <row r="156" spans="1:8" x14ac:dyDescent="0.25">
      <c r="C156" s="29" t="s">
        <v>340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0.35175000000000006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5">
      <c r="C157" s="29" t="s">
        <v>341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0.35175000000000006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5">
      <c r="A158" s="29" t="s">
        <v>190</v>
      </c>
      <c r="B158" s="29" t="s">
        <v>81</v>
      </c>
      <c r="C158" s="29" t="s">
        <v>339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0.35175000000000006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5">
      <c r="C159" s="29" t="s">
        <v>340</v>
      </c>
      <c r="D159" s="90">
        <f t="shared" si="10"/>
        <v>0.97650000000000015</v>
      </c>
      <c r="E159" s="90">
        <f t="shared" si="10"/>
        <v>0.97650000000000015</v>
      </c>
      <c r="F159" s="90">
        <f t="shared" si="10"/>
        <v>0.35175000000000006</v>
      </c>
      <c r="G159" s="90">
        <f t="shared" si="10"/>
        <v>0.97650000000000015</v>
      </c>
      <c r="H159" s="90">
        <f t="shared" si="10"/>
        <v>0.97650000000000015</v>
      </c>
    </row>
    <row r="160" spans="1:8" x14ac:dyDescent="0.25">
      <c r="A160" s="29" t="s">
        <v>199</v>
      </c>
      <c r="B160" s="29" t="s">
        <v>81</v>
      </c>
      <c r="C160" s="29" t="s">
        <v>339</v>
      </c>
      <c r="D160" s="90">
        <f t="shared" si="10"/>
        <v>1.05</v>
      </c>
      <c r="E160" s="90">
        <f t="shared" si="10"/>
        <v>1.05</v>
      </c>
      <c r="F160" s="90">
        <f t="shared" si="10"/>
        <v>0.35175000000000006</v>
      </c>
      <c r="G160" s="90">
        <f t="shared" si="10"/>
        <v>1.05</v>
      </c>
      <c r="H160" s="90">
        <f t="shared" si="10"/>
        <v>1.05</v>
      </c>
    </row>
    <row r="161" spans="1:8" x14ac:dyDescent="0.25">
      <c r="C161" s="29" t="s">
        <v>340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0.35175000000000006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5">
      <c r="A162" s="29" t="s">
        <v>183</v>
      </c>
      <c r="B162" s="29" t="s">
        <v>72</v>
      </c>
      <c r="C162" s="29" t="s">
        <v>339</v>
      </c>
      <c r="D162" s="90">
        <f t="shared" ref="D162:H171" si="11">D52*1.05</f>
        <v>0.60899999999999999</v>
      </c>
      <c r="E162" s="90">
        <f t="shared" si="11"/>
        <v>0.60899999999999999</v>
      </c>
      <c r="F162" s="90">
        <f t="shared" si="11"/>
        <v>0.35175000000000006</v>
      </c>
      <c r="G162" s="90">
        <f t="shared" si="11"/>
        <v>0</v>
      </c>
      <c r="H162" s="90">
        <f t="shared" si="11"/>
        <v>0</v>
      </c>
    </row>
    <row r="163" spans="1:8" x14ac:dyDescent="0.25">
      <c r="C163" s="29" t="s">
        <v>340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0.35175000000000006</v>
      </c>
      <c r="G163" s="90">
        <f t="shared" si="11"/>
        <v>0</v>
      </c>
      <c r="H163" s="90">
        <f t="shared" si="11"/>
        <v>0</v>
      </c>
    </row>
  </sheetData>
  <sheetProtection algorithmName="SHA-512" hashValue="b29ETg0J9OPidi3Ta1bcYeskJan6nVcLqWoCQqbaGecWiUOomC5+brwIUzN1Gn3/SQSQR0pW9uZcsW43QP9MRA==" saltValue="mh5JprW50fSByFC+OtpRH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81640625" defaultRowHeight="12.5" x14ac:dyDescent="0.25"/>
  <cols>
    <col min="1" max="1" width="28" style="67" customWidth="1"/>
    <col min="2" max="2" width="27.453125" style="67" customWidth="1"/>
    <col min="3" max="3" width="23.6328125" style="67" customWidth="1"/>
    <col min="4" max="7" width="17.1796875" style="67" customWidth="1"/>
    <col min="8" max="8" width="12.81640625" style="67" customWidth="1"/>
    <col min="9" max="16384" width="12.81640625" style="67"/>
  </cols>
  <sheetData>
    <row r="1" spans="1:8" ht="13" customHeight="1" x14ac:dyDescent="0.3">
      <c r="A1" s="76" t="s">
        <v>156</v>
      </c>
      <c r="B1" s="76" t="s">
        <v>337</v>
      </c>
      <c r="C1" s="76"/>
      <c r="D1" s="57" t="s">
        <v>112</v>
      </c>
      <c r="E1" s="57" t="s">
        <v>113</v>
      </c>
      <c r="F1" s="57" t="s">
        <v>114</v>
      </c>
      <c r="G1" s="57" t="s">
        <v>115</v>
      </c>
      <c r="H1" s="57"/>
    </row>
    <row r="2" spans="1:8" x14ac:dyDescent="0.25">
      <c r="A2" s="83" t="s">
        <v>168</v>
      </c>
      <c r="B2" s="67" t="s">
        <v>94</v>
      </c>
      <c r="C2" s="83" t="s">
        <v>339</v>
      </c>
      <c r="D2" s="90">
        <v>1</v>
      </c>
      <c r="E2" s="90">
        <v>1</v>
      </c>
      <c r="F2" s="90">
        <v>1</v>
      </c>
      <c r="G2" s="90">
        <v>1</v>
      </c>
      <c r="H2" s="75"/>
    </row>
    <row r="3" spans="1:8" x14ac:dyDescent="0.25">
      <c r="C3" s="67" t="s">
        <v>340</v>
      </c>
      <c r="D3" s="90">
        <v>0.2</v>
      </c>
      <c r="E3" s="90">
        <v>0.2</v>
      </c>
      <c r="F3" s="90">
        <v>0.2</v>
      </c>
      <c r="G3" s="90">
        <v>0.2</v>
      </c>
      <c r="H3" s="83"/>
    </row>
    <row r="4" spans="1:8" x14ac:dyDescent="0.25">
      <c r="A4" s="83" t="s">
        <v>187</v>
      </c>
      <c r="B4" s="67" t="s">
        <v>94</v>
      </c>
      <c r="C4" s="83" t="s">
        <v>339</v>
      </c>
      <c r="D4" s="90">
        <v>1</v>
      </c>
      <c r="E4" s="90">
        <v>1</v>
      </c>
      <c r="F4" s="90">
        <v>1</v>
      </c>
      <c r="G4" s="90">
        <v>1</v>
      </c>
      <c r="H4" s="83"/>
    </row>
    <row r="5" spans="1:8" x14ac:dyDescent="0.25">
      <c r="C5" s="67" t="s">
        <v>340</v>
      </c>
      <c r="D5" s="90">
        <v>0.59</v>
      </c>
      <c r="E5" s="90">
        <v>0.59</v>
      </c>
      <c r="F5" s="90">
        <v>0.59</v>
      </c>
      <c r="G5" s="90">
        <v>0.59</v>
      </c>
      <c r="H5" s="75"/>
    </row>
    <row r="6" spans="1:8" x14ac:dyDescent="0.25">
      <c r="A6" s="83" t="s">
        <v>186</v>
      </c>
      <c r="B6" s="67" t="s">
        <v>94</v>
      </c>
      <c r="C6" s="83" t="s">
        <v>339</v>
      </c>
      <c r="D6" s="90">
        <v>1</v>
      </c>
      <c r="E6" s="90">
        <v>1</v>
      </c>
      <c r="F6" s="90">
        <v>1</v>
      </c>
      <c r="G6" s="90">
        <v>1</v>
      </c>
      <c r="H6" s="75"/>
    </row>
    <row r="7" spans="1:8" x14ac:dyDescent="0.25">
      <c r="C7" s="67" t="s">
        <v>340</v>
      </c>
      <c r="D7" s="90">
        <v>0.6</v>
      </c>
      <c r="E7" s="90">
        <v>0.6</v>
      </c>
      <c r="F7" s="90">
        <v>0.6</v>
      </c>
      <c r="G7" s="90">
        <v>0.6</v>
      </c>
      <c r="H7" s="83"/>
    </row>
    <row r="9" spans="1:8" s="91" customFormat="1" ht="13" customHeight="1" x14ac:dyDescent="0.3">
      <c r="A9" s="91" t="s">
        <v>331</v>
      </c>
    </row>
    <row r="10" spans="1:8" ht="13" customHeight="1" x14ac:dyDescent="0.3">
      <c r="A10" s="76" t="s">
        <v>156</v>
      </c>
      <c r="B10" s="76" t="s">
        <v>337</v>
      </c>
      <c r="C10" s="76"/>
      <c r="D10" s="57" t="s">
        <v>112</v>
      </c>
      <c r="E10" s="57" t="s">
        <v>113</v>
      </c>
      <c r="F10" s="57" t="s">
        <v>114</v>
      </c>
      <c r="G10" s="57" t="s">
        <v>115</v>
      </c>
    </row>
    <row r="11" spans="1:8" x14ac:dyDescent="0.25">
      <c r="A11" s="83" t="s">
        <v>168</v>
      </c>
      <c r="B11" s="67" t="s">
        <v>94</v>
      </c>
      <c r="C11" s="83" t="s">
        <v>339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5">
      <c r="C12" s="67" t="s">
        <v>340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5">
      <c r="A13" s="83" t="s">
        <v>187</v>
      </c>
      <c r="B13" s="67" t="s">
        <v>94</v>
      </c>
      <c r="C13" s="83" t="s">
        <v>339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5">
      <c r="C14" s="67" t="s">
        <v>340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83" t="s">
        <v>186</v>
      </c>
      <c r="B15" s="67" t="s">
        <v>94</v>
      </c>
      <c r="C15" s="83" t="s">
        <v>339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5">
      <c r="C16" s="67" t="s">
        <v>340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1" customFormat="1" ht="13" customHeight="1" x14ac:dyDescent="0.3">
      <c r="A18" s="91" t="s">
        <v>334</v>
      </c>
    </row>
    <row r="19" spans="1:7" ht="13" customHeight="1" x14ac:dyDescent="0.3">
      <c r="A19" s="76" t="s">
        <v>156</v>
      </c>
      <c r="B19" s="76" t="s">
        <v>337</v>
      </c>
      <c r="C19" s="76"/>
      <c r="D19" s="57" t="s">
        <v>112</v>
      </c>
      <c r="E19" s="57" t="s">
        <v>113</v>
      </c>
      <c r="F19" s="57" t="s">
        <v>114</v>
      </c>
      <c r="G19" s="57" t="s">
        <v>115</v>
      </c>
    </row>
    <row r="20" spans="1:7" x14ac:dyDescent="0.25">
      <c r="A20" s="83" t="s">
        <v>168</v>
      </c>
      <c r="B20" s="67" t="s">
        <v>94</v>
      </c>
      <c r="C20" s="83" t="s">
        <v>339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5">
      <c r="C21" s="67" t="s">
        <v>340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5">
      <c r="A22" s="83" t="s">
        <v>187</v>
      </c>
      <c r="B22" s="67" t="s">
        <v>94</v>
      </c>
      <c r="C22" s="83" t="s">
        <v>339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5">
      <c r="C23" s="67" t="s">
        <v>340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83" t="s">
        <v>186</v>
      </c>
      <c r="B24" s="67" t="s">
        <v>94</v>
      </c>
      <c r="C24" s="83" t="s">
        <v>339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5">
      <c r="C25" s="67" t="s">
        <v>340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9/bl/D7XFor6pCcjyK/LeIgmpegYi+nReWkaQamJVpc748d4nQaXw0Zunsju90bnOxe2VoMBgu0U+LFINJs4qw==" saltValue="eUS/tVkGjQHjejQorA4Ly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keywords>lang=es</cp:keywords>
  <cp:lastModifiedBy>Dom Delport</cp:lastModifiedBy>
  <dcterms:created xsi:type="dcterms:W3CDTF">2017-08-01T10:42:13Z</dcterms:created>
  <dcterms:modified xsi:type="dcterms:W3CDTF">2022-02-28T05:51:25Z</dcterms:modified>
</cp:coreProperties>
</file>