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82B60E1-FFB1-449E-84CC-B69F5B5734E4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<sst xmlns="http://schemas.openxmlformats.org/spreadsheetml/2006/main" count="2089" uniqueCount="344">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</sst>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15574.034057617189</v>
      </c>
    </row>
    <row r="8" spans="1:3" ht="15" customHeight="1" x14ac:dyDescent="0.25">
      <c r="B8" s="7" t="s">
        <v>8</v>
      </c>
      <c r="C8" s="38">
        <v>0.129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0.81408699039999999</v>
      </c>
    </row>
    <row r="11" spans="1:3" ht="15" customHeight="1" x14ac:dyDescent="0.25">
      <c r="B11" s="7" t="s">
        <v>11</v>
      </c>
      <c r="C11" s="38">
        <v>0.70499999999999996</v>
      </c>
    </row>
    <row r="12" spans="1:3" ht="15" customHeight="1" x14ac:dyDescent="0.25">
      <c r="B12" s="7" t="s">
        <v>12</v>
      </c>
      <c r="C12" s="38">
        <v>0.81099999999999994</v>
      </c>
    </row>
    <row r="13" spans="1:3" ht="15" customHeight="1" x14ac:dyDescent="0.25">
      <c r="B13" s="7" t="s">
        <v>13</v>
      </c>
      <c r="C13" s="38">
        <v>0.64200000000000002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2.3699999999999999E-2</v>
      </c>
    </row>
    <row r="24" spans="1:3" ht="15" customHeight="1" x14ac:dyDescent="0.25">
      <c r="B24" s="10" t="s">
        <v>22</v>
      </c>
      <c r="C24" s="39">
        <v>0.4365</v>
      </c>
    </row>
    <row r="25" spans="1:3" ht="15" customHeight="1" x14ac:dyDescent="0.25">
      <c r="B25" s="10" t="s">
        <v>23</v>
      </c>
      <c r="C25" s="39">
        <v>0.4929</v>
      </c>
    </row>
    <row r="26" spans="1:3" ht="15" customHeight="1" x14ac:dyDescent="0.25">
      <c r="B26" s="10" t="s">
        <v>24</v>
      </c>
      <c r="C26" s="39">
        <v>4.6899999999999997E-2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0.35684440299194398</v>
      </c>
    </row>
    <row r="30" spans="1:3" ht="14.25" customHeight="1" x14ac:dyDescent="0.25">
      <c r="B30" s="16" t="s">
        <v>27</v>
      </c>
      <c r="C30" s="102">
        <v>3.97087852415089E-2</v>
      </c>
    </row>
    <row r="31" spans="1:3" ht="14.25" customHeight="1" x14ac:dyDescent="0.25">
      <c r="B31" s="16" t="s">
        <v>28</v>
      </c>
      <c r="C31" s="102">
        <v>5.3354632383265203E-2</v>
      </c>
    </row>
    <row r="32" spans="1:3" ht="14.25" customHeight="1" x14ac:dyDescent="0.25">
      <c r="B32" s="16" t="s">
        <v>29</v>
      </c>
      <c r="C32" s="102">
        <v>0.55009217938328203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22.1150047452577</v>
      </c>
    </row>
    <row r="38" spans="1:5" ht="15" customHeight="1" x14ac:dyDescent="0.25">
      <c r="B38" s="22" t="s">
        <v>34</v>
      </c>
      <c r="C38" s="37">
        <v>40.112941629041998</v>
      </c>
      <c r="D38" s="104"/>
      <c r="E38" s="105"/>
    </row>
    <row r="39" spans="1:5" ht="15" customHeight="1" x14ac:dyDescent="0.25">
      <c r="B39" s="22" t="s">
        <v>35</v>
      </c>
      <c r="C39" s="37">
        <v>50.884807811698899</v>
      </c>
      <c r="D39" s="104"/>
      <c r="E39" s="104"/>
    </row>
    <row r="40" spans="1:5" ht="15" customHeight="1" x14ac:dyDescent="0.25">
      <c r="B40" s="22" t="s">
        <v>36</v>
      </c>
      <c r="C40" s="106">
        <v>0.92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14.32210783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2.2296199999999999E-2</v>
      </c>
      <c r="D45" s="104"/>
    </row>
    <row r="46" spans="1:5" ht="15.75" customHeight="1" x14ac:dyDescent="0.25">
      <c r="B46" s="22" t="s">
        <v>41</v>
      </c>
      <c r="C46" s="39">
        <v>7.3795070000000004E-2</v>
      </c>
      <c r="D46" s="104"/>
    </row>
    <row r="47" spans="1:5" ht="15.75" customHeight="1" x14ac:dyDescent="0.25">
      <c r="B47" s="22" t="s">
        <v>42</v>
      </c>
      <c r="C47" s="39">
        <v>0.16517390000000001</v>
      </c>
      <c r="D47" s="104"/>
      <c r="E47" s="105"/>
    </row>
    <row r="48" spans="1:5" ht="15" customHeight="1" x14ac:dyDescent="0.25">
      <c r="B48" s="22" t="s">
        <v>43</v>
      </c>
      <c r="C48" s="40">
        <v>0.73873482999999995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0.56834600000000002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0.51955396150727506</v>
      </c>
      <c r="C2" s="99">
        <v>0.95</v>
      </c>
      <c r="D2" s="100">
        <v>41.719855648336448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44.789305247946928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158.70578687466161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2.047906679889445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0.16099781501756</v>
      </c>
      <c r="C10" s="99">
        <v>0.95</v>
      </c>
      <c r="D10" s="100">
        <v>14.31436711706729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0.16099781501756</v>
      </c>
      <c r="C11" s="99">
        <v>0.95</v>
      </c>
      <c r="D11" s="100">
        <v>14.31436711706729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0.16099781501756</v>
      </c>
      <c r="C12" s="99">
        <v>0.95</v>
      </c>
      <c r="D12" s="100">
        <v>14.31436711706729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0.16099781501756</v>
      </c>
      <c r="C13" s="99">
        <v>0.95</v>
      </c>
      <c r="D13" s="100">
        <v>14.31436711706729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0.16099781501756</v>
      </c>
      <c r="C14" s="99">
        <v>0.95</v>
      </c>
      <c r="D14" s="100">
        <v>14.31436711706729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0.16099781501756</v>
      </c>
      <c r="C15" s="99">
        <v>0.95</v>
      </c>
      <c r="D15" s="100">
        <v>14.31436711706729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0.37065239935599892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0.37</v>
      </c>
      <c r="C18" s="99">
        <v>0.95</v>
      </c>
      <c r="D18" s="100">
        <v>3.7356966196012209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3.7356966196012209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0.86133870000000001</v>
      </c>
      <c r="C21" s="99">
        <v>0.95</v>
      </c>
      <c r="D21" s="100">
        <v>21.53623251599171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24.468800057211059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4.7368458458873084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0.21772833524730001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0.12556823933221001</v>
      </c>
      <c r="C27" s="99">
        <v>0.95</v>
      </c>
      <c r="D27" s="100">
        <v>20.098178904392949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0.47802889981691998</v>
      </c>
      <c r="C29" s="99">
        <v>0.95</v>
      </c>
      <c r="D29" s="100">
        <v>76.423918391184941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4.0044889616495247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2.064350605E-2</v>
      </c>
      <c r="C32" s="99">
        <v>0.95</v>
      </c>
      <c r="D32" s="100">
        <v>0.75019485502059058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5.30184E-2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5.8546499383283868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0.23672403334588499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0.19295036540000002</v>
      </c>
      <c r="C3" s="118">
        <f>frac_mam_1_5months * 2.6</f>
        <v>0.19295036540000002</v>
      </c>
      <c r="D3" s="118">
        <f>frac_mam_6_11months * 2.6</f>
        <v>0.10425052039999996</v>
      </c>
      <c r="E3" s="118">
        <f>frac_mam_12_23months * 2.6</f>
        <v>6.2637333199999992E-2</v>
      </c>
      <c r="F3" s="118">
        <f>frac_mam_24_59months * 2.6</f>
        <v>2.2241169340000002E-2</v>
      </c>
    </row>
    <row r="4" spans="1:6" ht="15.75" customHeight="1" x14ac:dyDescent="0.25">
      <c r="A4" s="4" t="s">
        <v>205</v>
      </c>
      <c r="B4" s="118">
        <f>frac_sam_1month * 2.6</f>
        <v>8.5516054000000008E-2</v>
      </c>
      <c r="C4" s="118">
        <f>frac_sam_1_5months * 2.6</f>
        <v>8.5516054000000008E-2</v>
      </c>
      <c r="D4" s="118">
        <f>frac_sam_6_11months * 2.6</f>
        <v>5.2907821200000003E-2</v>
      </c>
      <c r="E4" s="118">
        <f>frac_sam_12_23months * 2.6</f>
        <v>3.8491759800000004E-2</v>
      </c>
      <c r="F4" s="118">
        <f>frac_sam_24_59months * 2.6</f>
        <v>1.886405352E-2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0.129</v>
      </c>
      <c r="E2" s="51">
        <f>food_insecure</f>
        <v>0.129</v>
      </c>
      <c r="F2" s="51">
        <f>food_insecure</f>
        <v>0.129</v>
      </c>
      <c r="G2" s="51">
        <f>food_insecure</f>
        <v>0.129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0.129</v>
      </c>
      <c r="F5" s="51">
        <f>food_insecure</f>
        <v>0.129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0.129</v>
      </c>
      <c r="F8" s="51">
        <f>food_insecure</f>
        <v>0.129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0.129</v>
      </c>
      <c r="F9" s="51">
        <f>food_insecure</f>
        <v>0.129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0.81099999999999994</v>
      </c>
      <c r="E10" s="51">
        <f>IF(ISBLANK(comm_deliv), frac_children_health_facility,1)</f>
        <v>0.81099999999999994</v>
      </c>
      <c r="F10" s="51">
        <f>IF(ISBLANK(comm_deliv), frac_children_health_facility,1)</f>
        <v>0.81099999999999994</v>
      </c>
      <c r="G10" s="51">
        <f>IF(ISBLANK(comm_deliv), frac_children_health_facility,1)</f>
        <v>0.81099999999999994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0.129</v>
      </c>
      <c r="I15" s="51">
        <f>food_insecure</f>
        <v>0.129</v>
      </c>
      <c r="J15" s="51">
        <f>food_insecure</f>
        <v>0.129</v>
      </c>
      <c r="K15" s="51">
        <f>food_insecure</f>
        <v>0.129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0.70499999999999996</v>
      </c>
      <c r="I18" s="51">
        <f>frac_PW_health_facility</f>
        <v>0.70499999999999996</v>
      </c>
      <c r="J18" s="51">
        <f>frac_PW_health_facility</f>
        <v>0.70499999999999996</v>
      </c>
      <c r="K18" s="51">
        <f>frac_PW_health_facility</f>
        <v>0.70499999999999996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0.64200000000000002</v>
      </c>
      <c r="M24" s="51">
        <f>famplan_unmet_need</f>
        <v>0.64200000000000002</v>
      </c>
      <c r="N24" s="51">
        <f>famplan_unmet_need</f>
        <v>0.64200000000000002</v>
      </c>
      <c r="O24" s="51">
        <f>famplan_unmet_need</f>
        <v>0.64200000000000002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9.613375813406401E-2</v>
      </c>
      <c r="M25" s="51">
        <f>(1-food_insecure)*(0.49)+food_insecure*(0.7)</f>
        <v>0.51709000000000005</v>
      </c>
      <c r="N25" s="51">
        <f>(1-food_insecure)*(0.49)+food_insecure*(0.7)</f>
        <v>0.51709000000000005</v>
      </c>
      <c r="O25" s="51">
        <f>(1-food_insecure)*(0.49)+food_insecure*(0.7)</f>
        <v>0.51709000000000005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4.1200182057456E-2</v>
      </c>
      <c r="M26" s="51">
        <f>(1-food_insecure)*(0.21)+food_insecure*(0.3)</f>
        <v>0.22160999999999997</v>
      </c>
      <c r="N26" s="51">
        <f>(1-food_insecure)*(0.21)+food_insecure*(0.3)</f>
        <v>0.22160999999999997</v>
      </c>
      <c r="O26" s="51">
        <f>(1-food_insecure)*(0.21)+food_insecure*(0.3)</f>
        <v>0.22160999999999997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4.8579069408479995E-2</v>
      </c>
      <c r="M27" s="51">
        <f>(1-food_insecure)*(0.3)</f>
        <v>0.26129999999999998</v>
      </c>
      <c r="N27" s="51">
        <f>(1-food_insecure)*(0.3)</f>
        <v>0.26129999999999998</v>
      </c>
      <c r="O27" s="51">
        <f>(1-food_insecure)*(0.3)</f>
        <v>0.26129999999999998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0.81408699039999999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3261.3735999999999</v>
      </c>
      <c r="C2" s="107">
        <v>5200</v>
      </c>
      <c r="D2" s="107">
        <v>10500</v>
      </c>
      <c r="E2" s="107">
        <v>8900</v>
      </c>
      <c r="F2" s="107">
        <v>6200</v>
      </c>
      <c r="G2" s="108">
        <f t="shared" ref="G2:G16" si="0">C2+D2+E2+F2</f>
        <v>30800</v>
      </c>
      <c r="H2" s="108">
        <f t="shared" ref="H2:H40" si="1">(B2 + stillbirth*B2/(1000-stillbirth))/(1-abortion)</f>
        <v>3759.9568713844815</v>
      </c>
      <c r="I2" s="108">
        <f t="shared" ref="I2:I40" si="2">G2-H2</f>
        <v>27040.043128615518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3261.3588</v>
      </c>
      <c r="C3" s="107">
        <v>5500</v>
      </c>
      <c r="D3" s="107">
        <v>10500</v>
      </c>
      <c r="E3" s="107">
        <v>9000</v>
      </c>
      <c r="F3" s="107">
        <v>6300</v>
      </c>
      <c r="G3" s="108">
        <f t="shared" si="0"/>
        <v>31300</v>
      </c>
      <c r="H3" s="108">
        <f t="shared" si="1"/>
        <v>3759.9398088309317</v>
      </c>
      <c r="I3" s="108">
        <f t="shared" si="2"/>
        <v>27540.060191169068</v>
      </c>
    </row>
    <row r="4" spans="1:9" ht="15.75" customHeight="1" x14ac:dyDescent="0.25">
      <c r="A4" s="7">
        <f t="shared" si="3"/>
        <v>2023</v>
      </c>
      <c r="B4" s="43">
        <v>3259.6736000000001</v>
      </c>
      <c r="C4" s="107">
        <v>5900</v>
      </c>
      <c r="D4" s="107">
        <v>10300</v>
      </c>
      <c r="E4" s="107">
        <v>9100</v>
      </c>
      <c r="F4" s="107">
        <v>6500</v>
      </c>
      <c r="G4" s="108">
        <f t="shared" si="0"/>
        <v>31800</v>
      </c>
      <c r="H4" s="108">
        <f t="shared" si="1"/>
        <v>3757.9969834767139</v>
      </c>
      <c r="I4" s="108">
        <f t="shared" si="2"/>
        <v>28042.003016523286</v>
      </c>
    </row>
    <row r="5" spans="1:9" ht="15.75" customHeight="1" x14ac:dyDescent="0.25">
      <c r="A5" s="7">
        <f t="shared" si="3"/>
        <v>2024</v>
      </c>
      <c r="B5" s="43">
        <v>3256.3180000000002</v>
      </c>
      <c r="C5" s="107">
        <v>6300</v>
      </c>
      <c r="D5" s="107">
        <v>10300</v>
      </c>
      <c r="E5" s="107">
        <v>9200</v>
      </c>
      <c r="F5" s="107">
        <v>6800</v>
      </c>
      <c r="G5" s="108">
        <f t="shared" si="0"/>
        <v>32600</v>
      </c>
      <c r="H5" s="108">
        <f t="shared" si="1"/>
        <v>3754.1283953218276</v>
      </c>
      <c r="I5" s="108">
        <f t="shared" si="2"/>
        <v>28845.871604678174</v>
      </c>
    </row>
    <row r="6" spans="1:9" ht="15.75" customHeight="1" x14ac:dyDescent="0.25">
      <c r="A6" s="7">
        <f t="shared" si="3"/>
        <v>2025</v>
      </c>
      <c r="B6" s="43">
        <v>3251.2919999999999</v>
      </c>
      <c r="C6" s="107">
        <v>6600</v>
      </c>
      <c r="D6" s="107">
        <v>10300</v>
      </c>
      <c r="E6" s="107">
        <v>9300</v>
      </c>
      <c r="F6" s="107">
        <v>7100</v>
      </c>
      <c r="G6" s="108">
        <f t="shared" si="0"/>
        <v>33300</v>
      </c>
      <c r="H6" s="108">
        <f t="shared" si="1"/>
        <v>3748.3340443662737</v>
      </c>
      <c r="I6" s="108">
        <f t="shared" si="2"/>
        <v>29551.665955633725</v>
      </c>
    </row>
    <row r="7" spans="1:9" ht="15.75" customHeight="1" x14ac:dyDescent="0.25">
      <c r="A7" s="7">
        <f t="shared" si="3"/>
        <v>2026</v>
      </c>
      <c r="B7" s="43">
        <v>3250.1968000000002</v>
      </c>
      <c r="C7" s="107">
        <v>6800</v>
      </c>
      <c r="D7" s="107">
        <v>10300</v>
      </c>
      <c r="E7" s="107">
        <v>9400</v>
      </c>
      <c r="F7" s="107">
        <v>7400</v>
      </c>
      <c r="G7" s="108">
        <f t="shared" si="0"/>
        <v>33900</v>
      </c>
      <c r="H7" s="108">
        <f t="shared" si="1"/>
        <v>3747.0714154035754</v>
      </c>
      <c r="I7" s="108">
        <f t="shared" si="2"/>
        <v>30152.928584596426</v>
      </c>
    </row>
    <row r="8" spans="1:9" ht="15.75" customHeight="1" x14ac:dyDescent="0.25">
      <c r="A8" s="7">
        <f t="shared" si="3"/>
        <v>2027</v>
      </c>
      <c r="B8" s="43">
        <v>3247.5983999999989</v>
      </c>
      <c r="C8" s="107">
        <v>6900</v>
      </c>
      <c r="D8" s="107">
        <v>10400</v>
      </c>
      <c r="E8" s="107">
        <v>9600</v>
      </c>
      <c r="F8" s="107">
        <v>7600</v>
      </c>
      <c r="G8" s="108">
        <f t="shared" si="0"/>
        <v>34500</v>
      </c>
      <c r="H8" s="108">
        <f t="shared" si="1"/>
        <v>3744.0757843803126</v>
      </c>
      <c r="I8" s="108">
        <f t="shared" si="2"/>
        <v>30755.924215619689</v>
      </c>
    </row>
    <row r="9" spans="1:9" ht="15.75" customHeight="1" x14ac:dyDescent="0.25">
      <c r="A9" s="7">
        <f t="shared" si="3"/>
        <v>2028</v>
      </c>
      <c r="B9" s="43">
        <v>3243.496799999999</v>
      </c>
      <c r="C9" s="107">
        <v>6900</v>
      </c>
      <c r="D9" s="107">
        <v>10500</v>
      </c>
      <c r="E9" s="107">
        <v>9700</v>
      </c>
      <c r="F9" s="107">
        <v>7800</v>
      </c>
      <c r="G9" s="108">
        <f t="shared" si="0"/>
        <v>34900</v>
      </c>
      <c r="H9" s="108">
        <f t="shared" si="1"/>
        <v>3739.3471512964884</v>
      </c>
      <c r="I9" s="108">
        <f t="shared" si="2"/>
        <v>31160.65284870351</v>
      </c>
    </row>
    <row r="10" spans="1:9" ht="15.75" customHeight="1" x14ac:dyDescent="0.25">
      <c r="A10" s="7">
        <f t="shared" si="3"/>
        <v>2029</v>
      </c>
      <c r="B10" s="43">
        <v>3237.8919999999989</v>
      </c>
      <c r="C10" s="107">
        <v>6900</v>
      </c>
      <c r="D10" s="107">
        <v>10800</v>
      </c>
      <c r="E10" s="107">
        <v>9800</v>
      </c>
      <c r="F10" s="107">
        <v>8100</v>
      </c>
      <c r="G10" s="108">
        <f t="shared" si="0"/>
        <v>35600</v>
      </c>
      <c r="H10" s="108">
        <f t="shared" si="1"/>
        <v>3732.8855161521014</v>
      </c>
      <c r="I10" s="108">
        <f t="shared" si="2"/>
        <v>31867.114483847898</v>
      </c>
    </row>
    <row r="11" spans="1:9" ht="15.75" customHeight="1" x14ac:dyDescent="0.25">
      <c r="A11" s="7">
        <f t="shared" si="3"/>
        <v>2030</v>
      </c>
      <c r="B11" s="43">
        <v>3230.7840000000001</v>
      </c>
      <c r="C11" s="107">
        <v>7000</v>
      </c>
      <c r="D11" s="107">
        <v>11100</v>
      </c>
      <c r="E11" s="107">
        <v>9800</v>
      </c>
      <c r="F11" s="107">
        <v>8300</v>
      </c>
      <c r="G11" s="108">
        <f t="shared" si="0"/>
        <v>36200</v>
      </c>
      <c r="H11" s="108">
        <f t="shared" si="1"/>
        <v>3724.6908789471531</v>
      </c>
      <c r="I11" s="108">
        <f t="shared" si="2"/>
        <v>32475.309121052847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4.0033045199409237E-3</v>
      </c>
    </row>
    <row r="4" spans="1:8" ht="15.75" customHeight="1" x14ac:dyDescent="0.25">
      <c r="B4" s="13" t="s">
        <v>69</v>
      </c>
      <c r="C4" s="44">
        <v>0.1090695558090384</v>
      </c>
    </row>
    <row r="5" spans="1:8" ht="15.75" customHeight="1" x14ac:dyDescent="0.25">
      <c r="B5" s="13" t="s">
        <v>70</v>
      </c>
      <c r="C5" s="44">
        <v>6.119134747954881E-2</v>
      </c>
    </row>
    <row r="6" spans="1:8" ht="15.75" customHeight="1" x14ac:dyDescent="0.25">
      <c r="B6" s="13" t="s">
        <v>71</v>
      </c>
      <c r="C6" s="44">
        <v>0.25876110547737019</v>
      </c>
    </row>
    <row r="7" spans="1:8" ht="15.75" customHeight="1" x14ac:dyDescent="0.25">
      <c r="B7" s="13" t="s">
        <v>72</v>
      </c>
      <c r="C7" s="44">
        <v>0.3267664423416024</v>
      </c>
    </row>
    <row r="8" spans="1:8" ht="15.75" customHeight="1" x14ac:dyDescent="0.25">
      <c r="B8" s="13" t="s">
        <v>73</v>
      </c>
      <c r="C8" s="44">
        <v>4.9388569176955499E-3</v>
      </c>
    </row>
    <row r="9" spans="1:8" ht="15.75" customHeight="1" x14ac:dyDescent="0.25">
      <c r="B9" s="13" t="s">
        <v>74</v>
      </c>
      <c r="C9" s="44">
        <v>0.12868409083136301</v>
      </c>
    </row>
    <row r="10" spans="1:8" ht="15.75" customHeight="1" x14ac:dyDescent="0.25">
      <c r="B10" s="13" t="s">
        <v>75</v>
      </c>
      <c r="C10" s="44">
        <v>0.1065852966234406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0.14285889193541951</v>
      </c>
      <c r="D14" s="44">
        <v>0.14285889193541951</v>
      </c>
      <c r="E14" s="44">
        <v>0.14285889193541951</v>
      </c>
      <c r="F14" s="44">
        <v>0.14285889193541951</v>
      </c>
    </row>
    <row r="15" spans="1:8" ht="15.75" customHeight="1" x14ac:dyDescent="0.25">
      <c r="B15" s="13" t="s">
        <v>82</v>
      </c>
      <c r="C15" s="44">
        <v>0.220867036618841</v>
      </c>
      <c r="D15" s="44">
        <v>0.220867036618841</v>
      </c>
      <c r="E15" s="44">
        <v>0.220867036618841</v>
      </c>
      <c r="F15" s="44">
        <v>0.220867036618841</v>
      </c>
    </row>
    <row r="16" spans="1:8" ht="15.75" customHeight="1" x14ac:dyDescent="0.25">
      <c r="B16" s="13" t="s">
        <v>83</v>
      </c>
      <c r="C16" s="44">
        <v>2.239777508626287E-2</v>
      </c>
      <c r="D16" s="44">
        <v>2.239777508626287E-2</v>
      </c>
      <c r="E16" s="44">
        <v>2.239777508626287E-2</v>
      </c>
      <c r="F16" s="44">
        <v>2.239777508626287E-2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0.1334820233742918</v>
      </c>
      <c r="D21" s="44">
        <v>0.1334820233742918</v>
      </c>
      <c r="E21" s="44">
        <v>0.1334820233742918</v>
      </c>
      <c r="F21" s="44">
        <v>0.1334820233742918</v>
      </c>
    </row>
    <row r="22" spans="1:8" ht="15.75" customHeight="1" x14ac:dyDescent="0.25">
      <c r="B22" s="13" t="s">
        <v>89</v>
      </c>
      <c r="C22" s="44">
        <v>0.48039427298518472</v>
      </c>
      <c r="D22" s="44">
        <v>0.48039427298518472</v>
      </c>
      <c r="E22" s="44">
        <v>0.48039427298518472</v>
      </c>
      <c r="F22" s="44">
        <v>0.48039427298518472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3.8186174000000003E-2</v>
      </c>
    </row>
    <row r="27" spans="1:8" ht="15.75" customHeight="1" x14ac:dyDescent="0.25">
      <c r="B27" s="13" t="s">
        <v>92</v>
      </c>
      <c r="C27" s="44">
        <v>3.5979345000000003E-2</v>
      </c>
    </row>
    <row r="28" spans="1:8" ht="15.75" customHeight="1" x14ac:dyDescent="0.25">
      <c r="B28" s="13" t="s">
        <v>93</v>
      </c>
      <c r="C28" s="44">
        <v>0.17918920699999999</v>
      </c>
    </row>
    <row r="29" spans="1:8" ht="15.75" customHeight="1" x14ac:dyDescent="0.25">
      <c r="B29" s="13" t="s">
        <v>94</v>
      </c>
      <c r="C29" s="44">
        <v>9.3383905000000003E-2</v>
      </c>
    </row>
    <row r="30" spans="1:8" ht="15.75" customHeight="1" x14ac:dyDescent="0.25">
      <c r="B30" s="13" t="s">
        <v>95</v>
      </c>
      <c r="C30" s="44">
        <v>4.2695289999999983E-2</v>
      </c>
    </row>
    <row r="31" spans="1:8" ht="15.75" customHeight="1" x14ac:dyDescent="0.25">
      <c r="B31" s="13" t="s">
        <v>96</v>
      </c>
      <c r="C31" s="44">
        <v>0.135273369</v>
      </c>
    </row>
    <row r="32" spans="1:8" ht="15.75" customHeight="1" x14ac:dyDescent="0.25">
      <c r="B32" s="13" t="s">
        <v>97</v>
      </c>
      <c r="C32" s="44">
        <v>0.18705686599999999</v>
      </c>
    </row>
    <row r="33" spans="2:3" ht="15.75" customHeight="1" x14ac:dyDescent="0.25">
      <c r="B33" s="13" t="s">
        <v>98</v>
      </c>
      <c r="C33" s="44">
        <v>0.13805392899999999</v>
      </c>
    </row>
    <row r="34" spans="2:3" ht="15.75" customHeight="1" x14ac:dyDescent="0.25">
      <c r="B34" s="13" t="s">
        <v>99</v>
      </c>
      <c r="C34" s="44">
        <v>0.150181916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0.68530882169486596</v>
      </c>
      <c r="D2" s="109">
        <f>IFERROR(1-_xlfn.NORM.DIST(_xlfn.NORM.INV(SUM(D4:D5), 0, 1) + 1, 0, 1, TRUE), "")</f>
        <v>0.68530882169486596</v>
      </c>
      <c r="E2" s="109">
        <f>IFERROR(1-_xlfn.NORM.DIST(_xlfn.NORM.INV(SUM(E4:E5), 0, 1) + 1, 0, 1, TRUE), "")</f>
        <v>0.71403452275523727</v>
      </c>
      <c r="F2" s="109">
        <f>IFERROR(1-_xlfn.NORM.DIST(_xlfn.NORM.INV(SUM(F4:F5), 0, 1) + 1, 0, 1, TRUE), "")</f>
        <v>0.53686918958850971</v>
      </c>
      <c r="G2" s="109">
        <f>IFERROR(1-_xlfn.NORM.DIST(_xlfn.NORM.INV(SUM(G4:G5), 0, 1) + 1, 0, 1, TRUE), "")</f>
        <v>0.45067450047383084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0.24560033730513398</v>
      </c>
      <c r="D3" s="109">
        <f>IFERROR(_xlfn.NORM.DIST(_xlfn.NORM.INV(SUM(D4:D5), 0, 1) + 1, 0, 1, TRUE) - SUM(D4:D5), "")</f>
        <v>0.24560033730513398</v>
      </c>
      <c r="E3" s="109">
        <f>IFERROR(_xlfn.NORM.DIST(_xlfn.NORM.INV(SUM(E4:E5), 0, 1) + 1, 0, 1, TRUE) - SUM(E4:E5), "")</f>
        <v>0.22719863524476275</v>
      </c>
      <c r="F3" s="109">
        <f>IFERROR(_xlfn.NORM.DIST(_xlfn.NORM.INV(SUM(F4:F5), 0, 1) + 1, 0, 1, TRUE) - SUM(F4:F5), "")</f>
        <v>0.3258349444114903</v>
      </c>
      <c r="G3" s="109">
        <f>IFERROR(_xlfn.NORM.DIST(_xlfn.NORM.INV(SUM(G4:G5), 0, 1) + 1, 0, 1, TRUE) - SUM(G4:G5), "")</f>
        <v>0.35882206052616916</v>
      </c>
    </row>
    <row r="4" spans="1:15" ht="15.75" customHeight="1" x14ac:dyDescent="0.25">
      <c r="B4" s="7" t="s">
        <v>104</v>
      </c>
      <c r="C4" s="110">
        <v>5.7732744000000003E-2</v>
      </c>
      <c r="D4" s="110">
        <v>5.7732744000000003E-2</v>
      </c>
      <c r="E4" s="110">
        <v>3.7514144999999999E-2</v>
      </c>
      <c r="F4" s="110">
        <v>8.4266175999999998E-2</v>
      </c>
      <c r="G4" s="110">
        <v>0.14328246</v>
      </c>
    </row>
    <row r="5" spans="1:15" ht="15.75" customHeight="1" x14ac:dyDescent="0.25">
      <c r="B5" s="7" t="s">
        <v>105</v>
      </c>
      <c r="C5" s="110">
        <v>1.1358096999999999E-2</v>
      </c>
      <c r="D5" s="110">
        <v>1.1358096999999999E-2</v>
      </c>
      <c r="E5" s="110">
        <v>2.1252697000000001E-2</v>
      </c>
      <c r="F5" s="110">
        <v>5.3029689999999997E-2</v>
      </c>
      <c r="G5" s="110">
        <v>4.7220979000000003E-2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0.59564312714006595</v>
      </c>
      <c r="D8" s="109">
        <f>IFERROR(1-_xlfn.NORM.DIST(_xlfn.NORM.INV(SUM(D10:D11), 0, 1) + 1, 0, 1, TRUE), "")</f>
        <v>0.59564312714006595</v>
      </c>
      <c r="E8" s="109">
        <f>IFERROR(1-_xlfn.NORM.DIST(_xlfn.NORM.INV(SUM(E10:E11), 0, 1) + 1, 0, 1, TRUE), "")</f>
        <v>0.70919839807677842</v>
      </c>
      <c r="F8" s="109">
        <f>IFERROR(1-_xlfn.NORM.DIST(_xlfn.NORM.INV(SUM(F10:F11), 0, 1) + 1, 0, 1, TRUE), "")</f>
        <v>0.77746086423071992</v>
      </c>
      <c r="G8" s="109">
        <f>IFERROR(1-_xlfn.NORM.DIST(_xlfn.NORM.INV(SUM(G10:G11), 0, 1) + 1, 0, 1, TRUE), "")</f>
        <v>0.87476102081325191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0.29725440385993407</v>
      </c>
      <c r="D9" s="109">
        <f>IFERROR(_xlfn.NORM.DIST(_xlfn.NORM.INV(SUM(D10:D11), 0, 1) + 1, 0, 1, TRUE) - SUM(D10:D11), "")</f>
        <v>0.29725440385993407</v>
      </c>
      <c r="E9" s="109">
        <f>IFERROR(_xlfn.NORM.DIST(_xlfn.NORM.INV(SUM(E10:E11), 0, 1) + 1, 0, 1, TRUE) - SUM(E10:E11), "")</f>
        <v>0.2303560859232216</v>
      </c>
      <c r="F9" s="109">
        <f>IFERROR(_xlfn.NORM.DIST(_xlfn.NORM.INV(SUM(F10:F11), 0, 1) + 1, 0, 1, TRUE) - SUM(F10:F11), "")</f>
        <v>0.18364333076928011</v>
      </c>
      <c r="G9" s="109">
        <f>IFERROR(_xlfn.NORM.DIST(_xlfn.NORM.INV(SUM(G10:G11), 0, 1) + 1, 0, 1, TRUE) - SUM(G10:G11), "")</f>
        <v>0.10942927808674806</v>
      </c>
    </row>
    <row r="10" spans="1:15" ht="15.75" customHeight="1" x14ac:dyDescent="0.25">
      <c r="B10" s="7" t="s">
        <v>109</v>
      </c>
      <c r="C10" s="110">
        <v>7.4211679000000003E-2</v>
      </c>
      <c r="D10" s="110">
        <v>7.4211679000000003E-2</v>
      </c>
      <c r="E10" s="110">
        <v>4.0096353999999987E-2</v>
      </c>
      <c r="F10" s="110">
        <v>2.4091281999999999E-2</v>
      </c>
      <c r="G10" s="110">
        <v>8.5542958999999998E-3</v>
      </c>
    </row>
    <row r="11" spans="1:15" ht="15.75" customHeight="1" x14ac:dyDescent="0.25">
      <c r="B11" s="7" t="s">
        <v>110</v>
      </c>
      <c r="C11" s="110">
        <v>3.2890790000000003E-2</v>
      </c>
      <c r="D11" s="110">
        <v>3.2890790000000003E-2</v>
      </c>
      <c r="E11" s="110">
        <v>2.0349162E-2</v>
      </c>
      <c r="F11" s="110">
        <v>1.4804523E-2</v>
      </c>
      <c r="G11" s="110">
        <v>7.2554052000000004E-3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0.51340841550000005</v>
      </c>
      <c r="D14" s="112">
        <v>0.51488794754</v>
      </c>
      <c r="E14" s="112">
        <v>0.51488794754</v>
      </c>
      <c r="F14" s="112">
        <v>0.30718176750999998</v>
      </c>
      <c r="G14" s="112">
        <v>0.30718176750999998</v>
      </c>
      <c r="H14" s="113">
        <v>0.36</v>
      </c>
      <c r="I14" s="113">
        <v>0.36</v>
      </c>
      <c r="J14" s="113">
        <v>0.36</v>
      </c>
      <c r="K14" s="113">
        <v>0.36</v>
      </c>
      <c r="L14" s="113">
        <v>0.253</v>
      </c>
      <c r="M14" s="113">
        <v>0.253</v>
      </c>
      <c r="N14" s="113">
        <v>0.253</v>
      </c>
      <c r="O14" s="113">
        <v>0.253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0.29179361931576303</v>
      </c>
      <c r="D15" s="109">
        <f t="shared" si="0"/>
        <v>0.29263450543256886</v>
      </c>
      <c r="E15" s="109">
        <f t="shared" si="0"/>
        <v>0.29263450543256886</v>
      </c>
      <c r="F15" s="109">
        <f t="shared" si="0"/>
        <v>0.17458552883723846</v>
      </c>
      <c r="G15" s="109">
        <f t="shared" si="0"/>
        <v>0.17458552883723846</v>
      </c>
      <c r="H15" s="109">
        <f t="shared" si="0"/>
        <v>0.20460455999999999</v>
      </c>
      <c r="I15" s="109">
        <f t="shared" si="0"/>
        <v>0.20460455999999999</v>
      </c>
      <c r="J15" s="109">
        <f t="shared" si="0"/>
        <v>0.20460455999999999</v>
      </c>
      <c r="K15" s="109">
        <f t="shared" si="0"/>
        <v>0.20460455999999999</v>
      </c>
      <c r="L15" s="109">
        <f t="shared" si="0"/>
        <v>0.143791538</v>
      </c>
      <c r="M15" s="109">
        <f t="shared" si="0"/>
        <v>0.143791538</v>
      </c>
      <c r="N15" s="109">
        <f t="shared" si="0"/>
        <v>0.143791538</v>
      </c>
      <c r="O15" s="109">
        <f t="shared" si="0"/>
        <v>0.143791538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0.75947090000000006</v>
      </c>
      <c r="D2" s="110">
        <v>0.62829849999999998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9.8268190000000005E-2</v>
      </c>
      <c r="D3" s="110">
        <v>0.1174654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9.8268190000000005E-2</v>
      </c>
      <c r="D4" s="110">
        <v>0.1495677</v>
      </c>
      <c r="E4" s="110">
        <v>0</v>
      </c>
      <c r="F4" s="110">
        <v>0</v>
      </c>
      <c r="G4" s="110">
        <v>0</v>
      </c>
    </row>
    <row r="5" spans="1:7" x14ac:dyDescent="0.25">
      <c r="B5" s="83" t="s">
        <v>122</v>
      </c>
      <c r="C5" s="109">
        <v>4.3992700000000003E-2</v>
      </c>
      <c r="D5" s="109">
        <v>0.10466830000000001</v>
      </c>
      <c r="E5" s="109">
        <f>1-SUM(E2:E4)</f>
        <v>1</v>
      </c>
      <c r="F5" s="109">
        <f>1-SUM(F2:F4)</f>
        <v>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2022-02-28T05:52:49Z</dcterms:modified>
</cp:coreProperties>
</file>