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CFFDDAC-D5E1-4CB4-8119-FDBBAEDC0677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4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6" i="2"/>
  <c r="A18" i="2"/>
  <c r="A20" i="2"/>
  <c r="A22" i="2"/>
  <c r="A26" i="2"/>
  <c r="A28" i="2"/>
  <c r="A30" i="2"/>
  <c r="A32" i="2"/>
  <c r="A36" i="2"/>
  <c r="A38" i="2"/>
  <c r="A40" i="2"/>
  <c r="A4" i="2"/>
  <c r="A5" i="2" s="1"/>
  <c r="A6" i="2" s="1"/>
  <c r="A7" i="2" s="1"/>
  <c r="A8" i="2" s="1"/>
  <c r="A9" i="2" s="1"/>
  <c r="A10" i="2" s="1"/>
  <c r="A11" i="2" s="1"/>
  <c r="A14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<sst xmlns="http://schemas.openxmlformats.org/spreadsheetml/2006/main" count="2089" uniqueCount="344">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</sst>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180485.173828125</v>
      </c>
    </row>
    <row r="8" spans="1:3" ht="15" customHeight="1" x14ac:dyDescent="0.25">
      <c r="B8" s="7" t="s">
        <v>8</v>
      </c>
      <c r="C8" s="38">
        <v>0.307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0.63727569580078092</v>
      </c>
    </row>
    <row r="11" spans="1:3" ht="15" customHeight="1" x14ac:dyDescent="0.25">
      <c r="B11" s="7" t="s">
        <v>11</v>
      </c>
      <c r="C11" s="38">
        <v>0.76700000000000002</v>
      </c>
    </row>
    <row r="12" spans="1:3" ht="15" customHeight="1" x14ac:dyDescent="0.25">
      <c r="B12" s="7" t="s">
        <v>12</v>
      </c>
      <c r="C12" s="38">
        <v>0.70900000000000007</v>
      </c>
    </row>
    <row r="13" spans="1:3" ht="15" customHeight="1" x14ac:dyDescent="0.25">
      <c r="B13" s="7" t="s">
        <v>13</v>
      </c>
      <c r="C13" s="38">
        <v>0.53900000000000003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0.05</v>
      </c>
    </row>
    <row r="24" spans="1:3" ht="15" customHeight="1" x14ac:dyDescent="0.25">
      <c r="B24" s="10" t="s">
        <v>22</v>
      </c>
      <c r="C24" s="39">
        <v>0.46779999999999999</v>
      </c>
    </row>
    <row r="25" spans="1:3" ht="15" customHeight="1" x14ac:dyDescent="0.25">
      <c r="B25" s="10" t="s">
        <v>23</v>
      </c>
      <c r="C25" s="39">
        <v>0.38690000000000002</v>
      </c>
    </row>
    <row r="26" spans="1:3" ht="15" customHeight="1" x14ac:dyDescent="0.25">
      <c r="B26" s="10" t="s">
        <v>24</v>
      </c>
      <c r="C26" s="39">
        <v>9.530000000000001E-2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0.24582180170454701</v>
      </c>
    </row>
    <row r="30" spans="1:3" ht="14.25" customHeight="1" x14ac:dyDescent="0.25">
      <c r="B30" s="16" t="s">
        <v>27</v>
      </c>
      <c r="C30" s="102">
        <v>9.06282834806207E-2</v>
      </c>
    </row>
    <row r="31" spans="1:3" ht="14.25" customHeight="1" x14ac:dyDescent="0.25">
      <c r="B31" s="16" t="s">
        <v>28</v>
      </c>
      <c r="C31" s="102">
        <v>0.12440493626162399</v>
      </c>
    </row>
    <row r="32" spans="1:3" ht="14.25" customHeight="1" x14ac:dyDescent="0.25">
      <c r="B32" s="16" t="s">
        <v>29</v>
      </c>
      <c r="C32" s="102">
        <v>0.53914497855320898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19.580978501699999</v>
      </c>
    </row>
    <row r="38" spans="1:5" ht="15" customHeight="1" x14ac:dyDescent="0.25">
      <c r="B38" s="22" t="s">
        <v>34</v>
      </c>
      <c r="C38" s="37">
        <v>38.072024953266101</v>
      </c>
      <c r="D38" s="104"/>
      <c r="E38" s="105"/>
    </row>
    <row r="39" spans="1:5" ht="15" customHeight="1" x14ac:dyDescent="0.25">
      <c r="B39" s="22" t="s">
        <v>35</v>
      </c>
      <c r="C39" s="37">
        <v>44.218851796859497</v>
      </c>
      <c r="D39" s="104"/>
      <c r="E39" s="104"/>
    </row>
    <row r="40" spans="1:5" ht="15" customHeight="1" x14ac:dyDescent="0.25">
      <c r="B40" s="22" t="s">
        <v>36</v>
      </c>
      <c r="C40" s="106">
        <v>1.42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12.976142940000001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2.7041200000000001E-2</v>
      </c>
      <c r="D45" s="104"/>
    </row>
    <row r="46" spans="1:5" ht="15.75" customHeight="1" x14ac:dyDescent="0.25">
      <c r="B46" s="22" t="s">
        <v>41</v>
      </c>
      <c r="C46" s="39">
        <v>9.3508300000000003E-2</v>
      </c>
      <c r="D46" s="104"/>
    </row>
    <row r="47" spans="1:5" ht="15.75" customHeight="1" x14ac:dyDescent="0.25">
      <c r="B47" s="22" t="s">
        <v>42</v>
      </c>
      <c r="C47" s="39">
        <v>0.23620360000000001</v>
      </c>
      <c r="D47" s="104"/>
      <c r="E47" s="105"/>
    </row>
    <row r="48" spans="1:5" ht="15" customHeight="1" x14ac:dyDescent="0.25">
      <c r="B48" s="22" t="s">
        <v>43</v>
      </c>
      <c r="C48" s="40">
        <v>0.64324690000000007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2.4</v>
      </c>
      <c r="D51" s="104"/>
    </row>
    <row r="52" spans="1:4" ht="15" customHeight="1" x14ac:dyDescent="0.25">
      <c r="B52" s="22" t="s">
        <v>46</v>
      </c>
      <c r="C52" s="42">
        <v>2.4</v>
      </c>
    </row>
    <row r="53" spans="1:4" ht="15.75" customHeight="1" x14ac:dyDescent="0.25">
      <c r="B53" s="22" t="s">
        <v>47</v>
      </c>
      <c r="C53" s="42">
        <v>2.4</v>
      </c>
    </row>
    <row r="54" spans="1:4" ht="15.75" customHeight="1" x14ac:dyDescent="0.25">
      <c r="B54" s="22" t="s">
        <v>48</v>
      </c>
      <c r="C54" s="42">
        <v>2.4</v>
      </c>
    </row>
    <row r="55" spans="1:4" ht="15.75" customHeight="1" x14ac:dyDescent="0.25">
      <c r="B55" s="22" t="s">
        <v>49</v>
      </c>
      <c r="C55" s="42">
        <v>2.4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2.1666666666666671E-2</v>
      </c>
    </row>
    <row r="59" spans="1:4" ht="15.75" customHeight="1" x14ac:dyDescent="0.25">
      <c r="B59" s="22" t="s">
        <v>52</v>
      </c>
      <c r="C59" s="38">
        <v>0.595418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0.59569617038983091</v>
      </c>
      <c r="C2" s="99">
        <v>0.95</v>
      </c>
      <c r="D2" s="100">
        <v>40.561070613111141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42.580683844805243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140.5387212287504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0.54921846093538751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0.18459253311986901</v>
      </c>
      <c r="C10" s="99">
        <v>0.95</v>
      </c>
      <c r="D10" s="100">
        <v>13.598395744825829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0.18459253311986901</v>
      </c>
      <c r="C11" s="99">
        <v>0.95</v>
      </c>
      <c r="D11" s="100">
        <v>13.598395744825829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0.18459253311986901</v>
      </c>
      <c r="C12" s="99">
        <v>0.95</v>
      </c>
      <c r="D12" s="100">
        <v>13.598395744825829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0.18459253311986901</v>
      </c>
      <c r="C13" s="99">
        <v>0.95</v>
      </c>
      <c r="D13" s="100">
        <v>13.598395744825829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0.18459253311986901</v>
      </c>
      <c r="C14" s="99">
        <v>0.95</v>
      </c>
      <c r="D14" s="100">
        <v>13.598395744825829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0.18459253311986901</v>
      </c>
      <c r="C15" s="99">
        <v>0.95</v>
      </c>
      <c r="D15" s="100">
        <v>13.598395744825829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0.33763848267590918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0.59701539999999997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0.73</v>
      </c>
      <c r="C18" s="99">
        <v>0.95</v>
      </c>
      <c r="D18" s="100">
        <v>3.3223485837494819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3.3223485837494819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0.48521710000000001</v>
      </c>
      <c r="C21" s="99">
        <v>0.95</v>
      </c>
      <c r="D21" s="100">
        <v>5.0226201787989284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23.23689431241996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4.4977193243106921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0.12265269332089999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0.14397064565880299</v>
      </c>
      <c r="C27" s="99">
        <v>0.95</v>
      </c>
      <c r="D27" s="100">
        <v>19.667951390170739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0.53519007825966902</v>
      </c>
      <c r="C29" s="99">
        <v>0.95</v>
      </c>
      <c r="D29" s="100">
        <v>73.779165565353139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2.1818074410904882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6.0000000000000001E-3</v>
      </c>
      <c r="C32" s="99">
        <v>0.95</v>
      </c>
      <c r="D32" s="100">
        <v>0.6799284291458918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0.25466349999999999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0.64017539999999995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1.0554890000000001E-2</v>
      </c>
      <c r="C38" s="99">
        <v>0.95</v>
      </c>
      <c r="D38" s="100">
        <v>3.7635013828042281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0.64551727203571696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2.4</v>
      </c>
      <c r="C2" s="118">
        <f>'Entradas de población-año base'!C52</f>
        <v>2.4</v>
      </c>
      <c r="D2" s="118">
        <f>'Entradas de población-año base'!C53</f>
        <v>2.4</v>
      </c>
      <c r="E2" s="118">
        <f>'Entradas de población-año base'!C54</f>
        <v>2.4</v>
      </c>
      <c r="F2" s="118">
        <f>'Entradas de población-año base'!C55</f>
        <v>2.4</v>
      </c>
    </row>
    <row r="3" spans="1:6" ht="15.75" customHeight="1" x14ac:dyDescent="0.25">
      <c r="A3" s="4" t="s">
        <v>204</v>
      </c>
      <c r="B3" s="118">
        <f>frac_mam_1month * 2.6</f>
        <v>0.26260957866907142</v>
      </c>
      <c r="C3" s="118">
        <f>frac_mam_1_5months * 2.6</f>
        <v>0.26260957866907142</v>
      </c>
      <c r="D3" s="118">
        <f>frac_mam_6_11months * 2.6</f>
        <v>0.38607290685176721</v>
      </c>
      <c r="E3" s="118">
        <f>frac_mam_12_23months * 2.6</f>
        <v>0.39696155488491058</v>
      </c>
      <c r="F3" s="118">
        <f>frac_mam_24_59months * 2.6</f>
        <v>0.37063571214675983</v>
      </c>
    </row>
    <row r="4" spans="1:6" ht="15.75" customHeight="1" x14ac:dyDescent="0.25">
      <c r="A4" s="4" t="s">
        <v>205</v>
      </c>
      <c r="B4" s="118">
        <f>frac_sam_1month * 2.6</f>
        <v>0.35100718140602144</v>
      </c>
      <c r="C4" s="118">
        <f>frac_sam_1_5months * 2.6</f>
        <v>0.35100718140602144</v>
      </c>
      <c r="D4" s="118">
        <f>frac_sam_6_11months * 2.6</f>
        <v>0.31830115765333078</v>
      </c>
      <c r="E4" s="118">
        <f>frac_sam_12_23months * 2.6</f>
        <v>0.29351496249437442</v>
      </c>
      <c r="F4" s="118">
        <f>frac_sam_24_59months * 2.6</f>
        <v>0.22860545068979254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0.307</v>
      </c>
      <c r="E2" s="51">
        <f>food_insecure</f>
        <v>0.307</v>
      </c>
      <c r="F2" s="51">
        <f>food_insecure</f>
        <v>0.307</v>
      </c>
      <c r="G2" s="51">
        <f>food_insecure</f>
        <v>0.307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0.307</v>
      </c>
      <c r="F5" s="51">
        <f>food_insecure</f>
        <v>0.307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5.2000000000000011E-2</v>
      </c>
      <c r="D7" s="51">
        <f>diarrhoea_1_5mo*frac_diarrhea_severe</f>
        <v>5.2000000000000011E-2</v>
      </c>
      <c r="E7" s="51">
        <f>diarrhoea_6_11mo*frac_diarrhea_severe</f>
        <v>5.2000000000000011E-2</v>
      </c>
      <c r="F7" s="51">
        <f>diarrhoea_12_23mo*frac_diarrhea_severe</f>
        <v>5.2000000000000011E-2</v>
      </c>
      <c r="G7" s="51">
        <f>diarrhoea_24_59mo*frac_diarrhea_severe</f>
        <v>5.2000000000000011E-2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0.307</v>
      </c>
      <c r="F8" s="51">
        <f>food_insecure</f>
        <v>0.307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0.307</v>
      </c>
      <c r="F9" s="51">
        <f>food_insecure</f>
        <v>0.307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0.70900000000000007</v>
      </c>
      <c r="E10" s="51">
        <f>IF(ISBLANK(comm_deliv), frac_children_health_facility,1)</f>
        <v>0.70900000000000007</v>
      </c>
      <c r="F10" s="51">
        <f>IF(ISBLANK(comm_deliv), frac_children_health_facility,1)</f>
        <v>0.70900000000000007</v>
      </c>
      <c r="G10" s="51">
        <f>IF(ISBLANK(comm_deliv), frac_children_health_facility,1)</f>
        <v>0.70900000000000007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5.2000000000000011E-2</v>
      </c>
      <c r="D12" s="51">
        <f>diarrhoea_1_5mo*frac_diarrhea_severe</f>
        <v>5.2000000000000011E-2</v>
      </c>
      <c r="E12" s="51">
        <f>diarrhoea_6_11mo*frac_diarrhea_severe</f>
        <v>5.2000000000000011E-2</v>
      </c>
      <c r="F12" s="51">
        <f>diarrhoea_12_23mo*frac_diarrhea_severe</f>
        <v>5.2000000000000011E-2</v>
      </c>
      <c r="G12" s="51">
        <f>diarrhoea_24_59mo*frac_diarrhea_severe</f>
        <v>5.2000000000000011E-2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0.307</v>
      </c>
      <c r="I15" s="51">
        <f>food_insecure</f>
        <v>0.307</v>
      </c>
      <c r="J15" s="51">
        <f>food_insecure</f>
        <v>0.307</v>
      </c>
      <c r="K15" s="51">
        <f>food_insecure</f>
        <v>0.307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0.76700000000000002</v>
      </c>
      <c r="I18" s="51">
        <f>frac_PW_health_facility</f>
        <v>0.76700000000000002</v>
      </c>
      <c r="J18" s="51">
        <f>frac_PW_health_facility</f>
        <v>0.76700000000000002</v>
      </c>
      <c r="K18" s="51">
        <f>frac_PW_health_facility</f>
        <v>0.76700000000000002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0.53900000000000003</v>
      </c>
      <c r="M24" s="51">
        <f>famplan_unmet_need</f>
        <v>0.53900000000000003</v>
      </c>
      <c r="N24" s="51">
        <f>famplan_unmet_need</f>
        <v>0.53900000000000003</v>
      </c>
      <c r="O24" s="51">
        <f>famplan_unmet_need</f>
        <v>0.53900000000000003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0.20111974494934101</v>
      </c>
      <c r="M25" s="51">
        <f>(1-food_insecure)*(0.49)+food_insecure*(0.7)</f>
        <v>0.55447000000000002</v>
      </c>
      <c r="N25" s="51">
        <f>(1-food_insecure)*(0.49)+food_insecure*(0.7)</f>
        <v>0.55447000000000002</v>
      </c>
      <c r="O25" s="51">
        <f>(1-food_insecure)*(0.49)+food_insecure*(0.7)</f>
        <v>0.55447000000000002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8.6194176406860445E-2</v>
      </c>
      <c r="M26" s="51">
        <f>(1-food_insecure)*(0.21)+food_insecure*(0.3)</f>
        <v>0.23763000000000001</v>
      </c>
      <c r="N26" s="51">
        <f>(1-food_insecure)*(0.21)+food_insecure*(0.3)</f>
        <v>0.23763000000000001</v>
      </c>
      <c r="O26" s="51">
        <f>(1-food_insecure)*(0.21)+food_insecure*(0.3)</f>
        <v>0.23763000000000001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7.5410382843017654E-2</v>
      </c>
      <c r="M27" s="51">
        <f>(1-food_insecure)*(0.3)</f>
        <v>0.2079</v>
      </c>
      <c r="N27" s="51">
        <f>(1-food_insecure)*(0.3)</f>
        <v>0.2079</v>
      </c>
      <c r="O27" s="51">
        <f>(1-food_insecure)*(0.3)</f>
        <v>0.2079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0.63727569580078092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47151.104800000001</v>
      </c>
      <c r="C2" s="107">
        <v>77000</v>
      </c>
      <c r="D2" s="107">
        <v>125000</v>
      </c>
      <c r="E2" s="107">
        <v>553000</v>
      </c>
      <c r="F2" s="107">
        <v>394000</v>
      </c>
      <c r="G2" s="108">
        <f t="shared" ref="G2:G16" si="0">C2+D2+E2+F2</f>
        <v>1149000</v>
      </c>
      <c r="H2" s="108">
        <f t="shared" ref="H2:H40" si="1">(B2 + stillbirth*B2/(1000-stillbirth))/(1-abortion)</f>
        <v>54285.213600296796</v>
      </c>
      <c r="I2" s="108">
        <f t="shared" ref="I2:I40" si="2">G2-H2</f>
        <v>1094714.7863997032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47811.817199999998</v>
      </c>
      <c r="C3" s="107">
        <v>79000</v>
      </c>
      <c r="D3" s="107">
        <v>129000</v>
      </c>
      <c r="E3" s="107">
        <v>563000</v>
      </c>
      <c r="F3" s="107">
        <v>408000</v>
      </c>
      <c r="G3" s="108">
        <f t="shared" si="0"/>
        <v>1179000</v>
      </c>
      <c r="H3" s="108">
        <f t="shared" si="1"/>
        <v>55045.893841290104</v>
      </c>
      <c r="I3" s="108">
        <f t="shared" si="2"/>
        <v>1123954.1061587099</v>
      </c>
    </row>
    <row r="4" spans="1:9" ht="15.75" customHeight="1" x14ac:dyDescent="0.25">
      <c r="A4" s="7">
        <f t="shared" si="3"/>
        <v>2023</v>
      </c>
      <c r="B4" s="43">
        <v>48456.397200000007</v>
      </c>
      <c r="C4" s="107">
        <v>82000</v>
      </c>
      <c r="D4" s="107">
        <v>132000</v>
      </c>
      <c r="E4" s="107">
        <v>575000</v>
      </c>
      <c r="F4" s="107">
        <v>422000</v>
      </c>
      <c r="G4" s="108">
        <f t="shared" si="0"/>
        <v>1211000</v>
      </c>
      <c r="H4" s="108">
        <f t="shared" si="1"/>
        <v>55788.000799990245</v>
      </c>
      <c r="I4" s="108">
        <f t="shared" si="2"/>
        <v>1155211.9992000097</v>
      </c>
    </row>
    <row r="5" spans="1:9" ht="15.75" customHeight="1" x14ac:dyDescent="0.25">
      <c r="A5" s="7">
        <f t="shared" si="3"/>
        <v>2024</v>
      </c>
      <c r="B5" s="43">
        <v>49084.844800000013</v>
      </c>
      <c r="C5" s="107">
        <v>84000</v>
      </c>
      <c r="D5" s="107">
        <v>136000</v>
      </c>
      <c r="E5" s="107">
        <v>586000</v>
      </c>
      <c r="F5" s="107">
        <v>436000</v>
      </c>
      <c r="G5" s="108">
        <f t="shared" si="0"/>
        <v>1242000</v>
      </c>
      <c r="H5" s="108">
        <f t="shared" si="1"/>
        <v>56511.534476397217</v>
      </c>
      <c r="I5" s="108">
        <f t="shared" si="2"/>
        <v>1185488.4655236027</v>
      </c>
    </row>
    <row r="6" spans="1:9" ht="15.75" customHeight="1" x14ac:dyDescent="0.25">
      <c r="A6" s="7">
        <f t="shared" si="3"/>
        <v>2025</v>
      </c>
      <c r="B6" s="43">
        <v>49729.536</v>
      </c>
      <c r="C6" s="107">
        <v>87000</v>
      </c>
      <c r="D6" s="107">
        <v>139000</v>
      </c>
      <c r="E6" s="107">
        <v>598000</v>
      </c>
      <c r="F6" s="107">
        <v>449000</v>
      </c>
      <c r="G6" s="108">
        <f t="shared" si="0"/>
        <v>1273000</v>
      </c>
      <c r="H6" s="108">
        <f t="shared" si="1"/>
        <v>57253.769460003175</v>
      </c>
      <c r="I6" s="108">
        <f t="shared" si="2"/>
        <v>1215746.2305399969</v>
      </c>
    </row>
    <row r="7" spans="1:9" ht="15.75" customHeight="1" x14ac:dyDescent="0.25">
      <c r="A7" s="7">
        <f t="shared" si="3"/>
        <v>2026</v>
      </c>
      <c r="B7" s="43">
        <v>50264.483999999997</v>
      </c>
      <c r="C7" s="107">
        <v>89000</v>
      </c>
      <c r="D7" s="107">
        <v>141000</v>
      </c>
      <c r="E7" s="107">
        <v>609000</v>
      </c>
      <c r="F7" s="107">
        <v>462000</v>
      </c>
      <c r="G7" s="108">
        <f t="shared" si="0"/>
        <v>1301000</v>
      </c>
      <c r="H7" s="108">
        <f t="shared" si="1"/>
        <v>57869.656756138203</v>
      </c>
      <c r="I7" s="108">
        <f t="shared" si="2"/>
        <v>1243130.3432438618</v>
      </c>
    </row>
    <row r="8" spans="1:9" ht="15.75" customHeight="1" x14ac:dyDescent="0.25">
      <c r="A8" s="7">
        <f t="shared" si="3"/>
        <v>2027</v>
      </c>
      <c r="B8" s="43">
        <v>50776.991999999998</v>
      </c>
      <c r="C8" s="107">
        <v>91000</v>
      </c>
      <c r="D8" s="107">
        <v>143000</v>
      </c>
      <c r="E8" s="107">
        <v>620000</v>
      </c>
      <c r="F8" s="107">
        <v>475000</v>
      </c>
      <c r="G8" s="108">
        <f t="shared" si="0"/>
        <v>1329000</v>
      </c>
      <c r="H8" s="108">
        <f t="shared" si="1"/>
        <v>58459.708810482873</v>
      </c>
      <c r="I8" s="108">
        <f t="shared" si="2"/>
        <v>1270540.2911895171</v>
      </c>
    </row>
    <row r="9" spans="1:9" ht="15.75" customHeight="1" x14ac:dyDescent="0.25">
      <c r="A9" s="7">
        <f t="shared" si="3"/>
        <v>2028</v>
      </c>
      <c r="B9" s="43">
        <v>51298.415999999997</v>
      </c>
      <c r="C9" s="107">
        <v>92000</v>
      </c>
      <c r="D9" s="107">
        <v>145000</v>
      </c>
      <c r="E9" s="107">
        <v>633000</v>
      </c>
      <c r="F9" s="107">
        <v>488000</v>
      </c>
      <c r="G9" s="108">
        <f t="shared" si="0"/>
        <v>1358000</v>
      </c>
      <c r="H9" s="108">
        <f t="shared" si="1"/>
        <v>59060.025883357084</v>
      </c>
      <c r="I9" s="108">
        <f t="shared" si="2"/>
        <v>1298939.974116643</v>
      </c>
    </row>
    <row r="10" spans="1:9" ht="15.75" customHeight="1" x14ac:dyDescent="0.25">
      <c r="A10" s="7">
        <f t="shared" si="3"/>
        <v>2029</v>
      </c>
      <c r="B10" s="43">
        <v>51796.72</v>
      </c>
      <c r="C10" s="107">
        <v>94000</v>
      </c>
      <c r="D10" s="107">
        <v>148000</v>
      </c>
      <c r="E10" s="107">
        <v>647000</v>
      </c>
      <c r="F10" s="107">
        <v>501000</v>
      </c>
      <c r="G10" s="108">
        <f t="shared" si="0"/>
        <v>1390000</v>
      </c>
      <c r="H10" s="108">
        <f t="shared" si="1"/>
        <v>59633.724828326078</v>
      </c>
      <c r="I10" s="108">
        <f t="shared" si="2"/>
        <v>1330366.2751716739</v>
      </c>
    </row>
    <row r="11" spans="1:9" ht="15.75" customHeight="1" x14ac:dyDescent="0.25">
      <c r="A11" s="7">
        <f t="shared" si="3"/>
        <v>2030</v>
      </c>
      <c r="B11" s="43">
        <v>52271.904000000002</v>
      </c>
      <c r="C11" s="107">
        <v>96000</v>
      </c>
      <c r="D11" s="107">
        <v>150000</v>
      </c>
      <c r="E11" s="107">
        <v>664000</v>
      </c>
      <c r="F11" s="107">
        <v>513000</v>
      </c>
      <c r="G11" s="108">
        <f t="shared" si="0"/>
        <v>1423000</v>
      </c>
      <c r="H11" s="108">
        <f t="shared" si="1"/>
        <v>60180.805645389846</v>
      </c>
      <c r="I11" s="108">
        <f t="shared" si="2"/>
        <v>1362819.1943546101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5.1399448877273669E-3</v>
      </c>
    </row>
    <row r="4" spans="1:8" ht="15.75" customHeight="1" x14ac:dyDescent="0.25">
      <c r="B4" s="13" t="s">
        <v>69</v>
      </c>
      <c r="C4" s="44">
        <v>0.17885695358990869</v>
      </c>
    </row>
    <row r="5" spans="1:8" ht="15.75" customHeight="1" x14ac:dyDescent="0.25">
      <c r="B5" s="13" t="s">
        <v>70</v>
      </c>
      <c r="C5" s="44">
        <v>7.2927737972553835E-2</v>
      </c>
    </row>
    <row r="6" spans="1:8" ht="15.75" customHeight="1" x14ac:dyDescent="0.25">
      <c r="B6" s="13" t="s">
        <v>71</v>
      </c>
      <c r="C6" s="44">
        <v>0.29921194251551653</v>
      </c>
    </row>
    <row r="7" spans="1:8" ht="15.75" customHeight="1" x14ac:dyDescent="0.25">
      <c r="B7" s="13" t="s">
        <v>72</v>
      </c>
      <c r="C7" s="44">
        <v>0.21809755287752239</v>
      </c>
    </row>
    <row r="8" spans="1:8" ht="15.75" customHeight="1" x14ac:dyDescent="0.25">
      <c r="B8" s="13" t="s">
        <v>73</v>
      </c>
      <c r="C8" s="44">
        <v>6.7183219484746081E-3</v>
      </c>
    </row>
    <row r="9" spans="1:8" ht="15.75" customHeight="1" x14ac:dyDescent="0.25">
      <c r="B9" s="13" t="s">
        <v>74</v>
      </c>
      <c r="C9" s="44">
        <v>0.12649539606149521</v>
      </c>
    </row>
    <row r="10" spans="1:8" ht="15.75" customHeight="1" x14ac:dyDescent="0.25">
      <c r="B10" s="13" t="s">
        <v>75</v>
      </c>
      <c r="C10" s="44">
        <v>9.2552150146801349E-2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0.15723698375343631</v>
      </c>
      <c r="D14" s="44">
        <v>0.15723698375343631</v>
      </c>
      <c r="E14" s="44">
        <v>0.15723698375343631</v>
      </c>
      <c r="F14" s="44">
        <v>0.15723698375343631</v>
      </c>
    </row>
    <row r="15" spans="1:8" ht="15.75" customHeight="1" x14ac:dyDescent="0.25">
      <c r="B15" s="13" t="s">
        <v>82</v>
      </c>
      <c r="C15" s="44">
        <v>0.31152954313869519</v>
      </c>
      <c r="D15" s="44">
        <v>0.31152954313869519</v>
      </c>
      <c r="E15" s="44">
        <v>0.31152954313869519</v>
      </c>
      <c r="F15" s="44">
        <v>0.31152954313869519</v>
      </c>
    </row>
    <row r="16" spans="1:8" ht="15.75" customHeight="1" x14ac:dyDescent="0.25">
      <c r="B16" s="13" t="s">
        <v>83</v>
      </c>
      <c r="C16" s="44">
        <v>3.4838416918565179E-2</v>
      </c>
      <c r="D16" s="44">
        <v>3.4838416918565179E-2</v>
      </c>
      <c r="E16" s="44">
        <v>3.4838416918565179E-2</v>
      </c>
      <c r="F16" s="44">
        <v>3.4838416918565179E-2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2.5166780822439401E-2</v>
      </c>
      <c r="D19" s="44">
        <v>2.5166780822439401E-2</v>
      </c>
      <c r="E19" s="44">
        <v>2.5166780822439401E-2</v>
      </c>
      <c r="F19" s="44">
        <v>2.5166780822439401E-2</v>
      </c>
    </row>
    <row r="20" spans="1:8" ht="15.75" customHeight="1" x14ac:dyDescent="0.25">
      <c r="B20" s="13" t="s">
        <v>87</v>
      </c>
      <c r="C20" s="44">
        <v>5.9350215094454914E-3</v>
      </c>
      <c r="D20" s="44">
        <v>5.9350215094454914E-3</v>
      </c>
      <c r="E20" s="44">
        <v>5.9350215094454914E-3</v>
      </c>
      <c r="F20" s="44">
        <v>5.9350215094454914E-3</v>
      </c>
    </row>
    <row r="21" spans="1:8" ht="15.75" customHeight="1" x14ac:dyDescent="0.25">
      <c r="B21" s="13" t="s">
        <v>88</v>
      </c>
      <c r="C21" s="44">
        <v>0.1361271296429537</v>
      </c>
      <c r="D21" s="44">
        <v>0.1361271296429537</v>
      </c>
      <c r="E21" s="44">
        <v>0.1361271296429537</v>
      </c>
      <c r="F21" s="44">
        <v>0.1361271296429537</v>
      </c>
    </row>
    <row r="22" spans="1:8" ht="15.75" customHeight="1" x14ac:dyDescent="0.25">
      <c r="B22" s="13" t="s">
        <v>89</v>
      </c>
      <c r="C22" s="44">
        <v>0.32916612421446489</v>
      </c>
      <c r="D22" s="44">
        <v>0.32916612421446489</v>
      </c>
      <c r="E22" s="44">
        <v>0.32916612421446489</v>
      </c>
      <c r="F22" s="44">
        <v>0.32916612421446489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4.8008347E-2</v>
      </c>
    </row>
    <row r="27" spans="1:8" ht="15.75" customHeight="1" x14ac:dyDescent="0.25">
      <c r="B27" s="13" t="s">
        <v>92</v>
      </c>
      <c r="C27" s="44">
        <v>1.9052040999999999E-2</v>
      </c>
    </row>
    <row r="28" spans="1:8" ht="15.75" customHeight="1" x14ac:dyDescent="0.25">
      <c r="B28" s="13" t="s">
        <v>93</v>
      </c>
      <c r="C28" s="44">
        <v>0.22942046699999999</v>
      </c>
    </row>
    <row r="29" spans="1:8" ht="15.75" customHeight="1" x14ac:dyDescent="0.25">
      <c r="B29" s="13" t="s">
        <v>94</v>
      </c>
      <c r="C29" s="44">
        <v>0.138432112</v>
      </c>
    </row>
    <row r="30" spans="1:8" ht="15.75" customHeight="1" x14ac:dyDescent="0.25">
      <c r="B30" s="13" t="s">
        <v>95</v>
      </c>
      <c r="C30" s="44">
        <v>5.0081873999999998E-2</v>
      </c>
    </row>
    <row r="31" spans="1:8" ht="15.75" customHeight="1" x14ac:dyDescent="0.25">
      <c r="B31" s="13" t="s">
        <v>96</v>
      </c>
      <c r="C31" s="44">
        <v>7.0297943000000002E-2</v>
      </c>
    </row>
    <row r="32" spans="1:8" ht="15.75" customHeight="1" x14ac:dyDescent="0.25">
      <c r="B32" s="13" t="s">
        <v>97</v>
      </c>
      <c r="C32" s="44">
        <v>0.149011013</v>
      </c>
    </row>
    <row r="33" spans="2:3" ht="15.75" customHeight="1" x14ac:dyDescent="0.25">
      <c r="B33" s="13" t="s">
        <v>98</v>
      </c>
      <c r="C33" s="44">
        <v>0.122429312</v>
      </c>
    </row>
    <row r="34" spans="2:3" ht="15.75" customHeight="1" x14ac:dyDescent="0.25">
      <c r="B34" s="13" t="s">
        <v>99</v>
      </c>
      <c r="C34" s="44">
        <v>0.17326689100000001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0.33489222818133846</v>
      </c>
      <c r="D2" s="109">
        <f>IFERROR(1-_xlfn.NORM.DIST(_xlfn.NORM.INV(SUM(D4:D5), 0, 1) + 1, 0, 1, TRUE), "")</f>
        <v>0.33489222818133846</v>
      </c>
      <c r="E2" s="109">
        <f>IFERROR(1-_xlfn.NORM.DIST(_xlfn.NORM.INV(SUM(E4:E5), 0, 1) + 1, 0, 1, TRUE), "")</f>
        <v>0.33177034046145926</v>
      </c>
      <c r="F2" s="109">
        <f>IFERROR(1-_xlfn.NORM.DIST(_xlfn.NORM.INV(SUM(F4:F5), 0, 1) + 1, 0, 1, TRUE), "")</f>
        <v>0.16084949489551836</v>
      </c>
      <c r="G2" s="109">
        <f>IFERROR(1-_xlfn.NORM.DIST(_xlfn.NORM.INV(SUM(G4:G5), 0, 1) + 1, 0, 1, TRUE), "")</f>
        <v>0.16084194367645799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0.38197367644789154</v>
      </c>
      <c r="D3" s="109">
        <f>IFERROR(_xlfn.NORM.DIST(_xlfn.NORM.INV(SUM(D4:D5), 0, 1) + 1, 0, 1, TRUE) - SUM(D4:D5), "")</f>
        <v>0.38197367644789154</v>
      </c>
      <c r="E3" s="109">
        <f>IFERROR(_xlfn.NORM.DIST(_xlfn.NORM.INV(SUM(E4:E5), 0, 1) + 1, 0, 1, TRUE) - SUM(E4:E5), "")</f>
        <v>0.38218258832004975</v>
      </c>
      <c r="F3" s="109">
        <f>IFERROR(_xlfn.NORM.DIST(_xlfn.NORM.INV(SUM(F4:F5), 0, 1) + 1, 0, 1, TRUE) - SUM(F4:F5), "")</f>
        <v>0.34275189224761765</v>
      </c>
      <c r="G3" s="109">
        <f>IFERROR(_xlfn.NORM.DIST(_xlfn.NORM.INV(SUM(G4:G5), 0, 1) + 1, 0, 1, TRUE) - SUM(G4:G5), "")</f>
        <v>0.34274710530520802</v>
      </c>
    </row>
    <row r="4" spans="1:15" ht="15.75" customHeight="1" x14ac:dyDescent="0.25">
      <c r="B4" s="7" t="s">
        <v>104</v>
      </c>
      <c r="C4" s="110">
        <v>0.10308892279863401</v>
      </c>
      <c r="D4" s="110">
        <v>0.10308892279863401</v>
      </c>
      <c r="E4" s="110">
        <v>0.11544397473335299</v>
      </c>
      <c r="F4" s="110">
        <v>0.216697826981544</v>
      </c>
      <c r="G4" s="110">
        <v>0.26752942800521901</v>
      </c>
    </row>
    <row r="5" spans="1:15" ht="15.75" customHeight="1" x14ac:dyDescent="0.25">
      <c r="B5" s="7" t="s">
        <v>105</v>
      </c>
      <c r="C5" s="110">
        <v>0.18004517257213601</v>
      </c>
      <c r="D5" s="110">
        <v>0.18004517257213601</v>
      </c>
      <c r="E5" s="110">
        <v>0.17060309648513799</v>
      </c>
      <c r="F5" s="110">
        <v>0.27970078587531999</v>
      </c>
      <c r="G5" s="110">
        <v>0.22888152301311501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0.38943489440022194</v>
      </c>
      <c r="D8" s="109">
        <f>IFERROR(1-_xlfn.NORM.DIST(_xlfn.NORM.INV(SUM(D10:D11), 0, 1) + 1, 0, 1, TRUE), "")</f>
        <v>0.38943489440022194</v>
      </c>
      <c r="E8" s="109">
        <f>IFERROR(1-_xlfn.NORM.DIST(_xlfn.NORM.INV(SUM(E10:E11), 0, 1) + 1, 0, 1, TRUE), "")</f>
        <v>0.34828814603640379</v>
      </c>
      <c r="F8" s="109">
        <f>IFERROR(1-_xlfn.NORM.DIST(_xlfn.NORM.INV(SUM(F10:F11), 0, 1) + 1, 0, 1, TRUE), "")</f>
        <v>0.3543037802449025</v>
      </c>
      <c r="G8" s="109">
        <f>IFERROR(1-_xlfn.NORM.DIST(_xlfn.NORM.INV(SUM(G10:G11), 0, 1) + 1, 0, 1, TRUE), "")</f>
        <v>0.39638152129049509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0.37455865941705002</v>
      </c>
      <c r="D9" s="109">
        <f>IFERROR(_xlfn.NORM.DIST(_xlfn.NORM.INV(SUM(D10:D11), 0, 1) + 1, 0, 1, TRUE) - SUM(D10:D11), "")</f>
        <v>0.37455865941705002</v>
      </c>
      <c r="E9" s="109">
        <f>IFERROR(_xlfn.NORM.DIST(_xlfn.NORM.INV(SUM(E10:E11), 0, 1) + 1, 0, 1, TRUE) - SUM(E10:E11), "")</f>
        <v>0.38079875223086623</v>
      </c>
      <c r="F9" s="109">
        <f>IFERROR(_xlfn.NORM.DIST(_xlfn.NORM.INV(SUM(F10:F11), 0, 1) + 1, 0, 1, TRUE) - SUM(F10:F11), "")</f>
        <v>0.38012832845537248</v>
      </c>
      <c r="G9" s="109">
        <f>IFERROR(_xlfn.NORM.DIST(_xlfn.NORM.INV(SUM(G10:G11), 0, 1) + 1, 0, 1, TRUE) - SUM(G10:G11), "")</f>
        <v>0.37314110838775399</v>
      </c>
    </row>
    <row r="10" spans="1:15" ht="15.75" customHeight="1" x14ac:dyDescent="0.25">
      <c r="B10" s="7" t="s">
        <v>109</v>
      </c>
      <c r="C10" s="110">
        <v>0.10100368410348901</v>
      </c>
      <c r="D10" s="110">
        <v>0.10100368410348901</v>
      </c>
      <c r="E10" s="110">
        <v>0.148489579558372</v>
      </c>
      <c r="F10" s="110">
        <v>0.15267752110958099</v>
      </c>
      <c r="G10" s="110">
        <v>0.14255219697952301</v>
      </c>
    </row>
    <row r="11" spans="1:15" ht="15.75" customHeight="1" x14ac:dyDescent="0.25">
      <c r="B11" s="7" t="s">
        <v>110</v>
      </c>
      <c r="C11" s="110">
        <v>0.135002762079239</v>
      </c>
      <c r="D11" s="110">
        <v>0.135002762079239</v>
      </c>
      <c r="E11" s="110">
        <v>0.12242352217435799</v>
      </c>
      <c r="F11" s="110">
        <v>0.112890370190144</v>
      </c>
      <c r="G11" s="110">
        <v>8.7925173342227894E-2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0.83210275624999996</v>
      </c>
      <c r="D14" s="112">
        <v>0.82560761370299995</v>
      </c>
      <c r="E14" s="112">
        <v>0.82560761370299995</v>
      </c>
      <c r="F14" s="112">
        <v>0.71009336219999997</v>
      </c>
      <c r="G14" s="112">
        <v>0.71009336219999997</v>
      </c>
      <c r="H14" s="113">
        <v>0.42599999999999999</v>
      </c>
      <c r="I14" s="113">
        <v>0.42599999999999999</v>
      </c>
      <c r="J14" s="113">
        <v>0.42599999999999999</v>
      </c>
      <c r="K14" s="113">
        <v>0.42599999999999999</v>
      </c>
      <c r="L14" s="113">
        <v>0.41199999999999998</v>
      </c>
      <c r="M14" s="113">
        <v>0.41199999999999998</v>
      </c>
      <c r="N14" s="113">
        <v>0.41199999999999998</v>
      </c>
      <c r="O14" s="113">
        <v>0.41199999999999998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0.49544895892086249</v>
      </c>
      <c r="D15" s="109">
        <f t="shared" si="0"/>
        <v>0.49158163413581285</v>
      </c>
      <c r="E15" s="109">
        <f t="shared" si="0"/>
        <v>0.49158163413581285</v>
      </c>
      <c r="F15" s="109">
        <f t="shared" si="0"/>
        <v>0.42280236953439959</v>
      </c>
      <c r="G15" s="109">
        <f t="shared" si="0"/>
        <v>0.42280236953439959</v>
      </c>
      <c r="H15" s="109">
        <f t="shared" si="0"/>
        <v>0.253648068</v>
      </c>
      <c r="I15" s="109">
        <f t="shared" si="0"/>
        <v>0.253648068</v>
      </c>
      <c r="J15" s="109">
        <f t="shared" si="0"/>
        <v>0.253648068</v>
      </c>
      <c r="K15" s="109">
        <f t="shared" si="0"/>
        <v>0.253648068</v>
      </c>
      <c r="L15" s="109">
        <f t="shared" si="0"/>
        <v>0.245312216</v>
      </c>
      <c r="M15" s="109">
        <f t="shared" si="0"/>
        <v>0.245312216</v>
      </c>
      <c r="N15" s="109">
        <f t="shared" si="0"/>
        <v>0.245312216</v>
      </c>
      <c r="O15" s="109">
        <f t="shared" si="0"/>
        <v>0.245312216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0.64547157287597701</v>
      </c>
      <c r="D2" s="110">
        <v>0.48992069999999999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0.14118583500385301</v>
      </c>
      <c r="D3" s="110">
        <v>0.14179639999999999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0.16761417686939201</v>
      </c>
      <c r="D4" s="110">
        <v>0.29845909999999998</v>
      </c>
      <c r="E4" s="110">
        <v>0.86139976978302002</v>
      </c>
      <c r="F4" s="110">
        <v>0.517189800739288</v>
      </c>
      <c r="G4" s="110">
        <v>0</v>
      </c>
    </row>
    <row r="5" spans="1:7" x14ac:dyDescent="0.25">
      <c r="B5" s="83" t="s">
        <v>122</v>
      </c>
      <c r="C5" s="109">
        <v>4.5728404074907303E-2</v>
      </c>
      <c r="D5" s="109">
        <v>6.9823808968067197E-2</v>
      </c>
      <c r="E5" s="109">
        <f>1-SUM(E2:E4)</f>
        <v>0.13860023021697998</v>
      </c>
      <c r="F5" s="109">
        <f>1-SUM(F2:F4)</f>
        <v>0.482810199260712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2022-02-28T05:54:28Z</dcterms:modified>
</cp:coreProperties>
</file>