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wb484577\Desktop\Provincial projections\"/>
    </mc:Choice>
  </mc:AlternateContent>
  <xr:revisionPtr revIDLastSave="0" documentId="10_ncr:100000_{BE4B8839-0900-43CE-9256-D37FCC897F25}" xr6:coauthVersionLast="31" xr6:coauthVersionMax="31" xr10:uidLastSave="{00000000-0000-0000-0000-000000000000}"/>
  <bookViews>
    <workbookView xWindow="0" yWindow="0" windowWidth="23040" windowHeight="8610" tabRatio="93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IYCF cost" sheetId="57" r:id="rId10"/>
    <sheet name="Program dependencies" sheetId="58" r:id="rId11"/>
    <sheet name="Reference programs" sheetId="59" state="hidden" r:id="rId12"/>
    <sheet name="Incidence of conditions" sheetId="7" r:id="rId13"/>
    <sheet name="Programs target population" sheetId="21" r:id="rId14"/>
    <sheet name="Programs family planning" sheetId="54" r:id="rId15"/>
  </sheets>
  <definedNames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inputs'!$C$7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inputs'!$C$8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79017"/>
</workbook>
</file>

<file path=xl/calcChain.xml><?xml version="1.0" encoding="utf-8"?>
<calcChain xmlns="http://schemas.openxmlformats.org/spreadsheetml/2006/main">
  <c r="H2" i="2" l="1"/>
  <c r="J2" i="2" s="1"/>
  <c r="I2" i="2"/>
  <c r="H3" i="2"/>
  <c r="I3" i="2"/>
  <c r="J3" i="2"/>
  <c r="H4" i="2"/>
  <c r="I4" i="2"/>
  <c r="J4" i="2"/>
  <c r="H5" i="2"/>
  <c r="I5" i="2"/>
  <c r="H6" i="2"/>
  <c r="I6" i="2"/>
  <c r="H7" i="2"/>
  <c r="I7" i="2"/>
  <c r="J7" i="2"/>
  <c r="J5" i="2" l="1"/>
  <c r="J6" i="2"/>
  <c r="D6" i="57"/>
  <c r="C6" i="57"/>
  <c r="D5" i="57"/>
  <c r="C5" i="57"/>
  <c r="D4" i="57"/>
  <c r="C4" i="57"/>
  <c r="D3" i="57"/>
  <c r="C3" i="57"/>
  <c r="D2" i="57"/>
  <c r="C2" i="57"/>
  <c r="D4" i="56"/>
  <c r="G11" i="21" l="1"/>
  <c r="F11" i="21"/>
  <c r="E11" i="21"/>
  <c r="D11" i="21"/>
  <c r="C11" i="21"/>
  <c r="E7" i="21"/>
  <c r="G7" i="21"/>
  <c r="F7" i="21"/>
  <c r="D7" i="21"/>
  <c r="C7" i="21"/>
  <c r="E20" i="55" l="1"/>
  <c r="E19" i="55"/>
  <c r="E18" i="55"/>
  <c r="E17" i="55"/>
  <c r="E16" i="55"/>
  <c r="E13" i="55" l="1"/>
  <c r="E12" i="55"/>
  <c r="E11" i="55"/>
  <c r="E10" i="55"/>
  <c r="E9" i="55"/>
  <c r="D18" i="56" s="1"/>
  <c r="A1" i="50" l="1"/>
  <c r="A1" i="5"/>
  <c r="A1" i="4"/>
  <c r="D19" i="56" l="1"/>
  <c r="C6" i="5"/>
  <c r="A34" i="2" l="1"/>
  <c r="A26" i="2"/>
  <c r="A18" i="2"/>
  <c r="A38" i="2"/>
  <c r="A30" i="2"/>
  <c r="A22" i="2"/>
  <c r="A37" i="2"/>
  <c r="A33" i="2"/>
  <c r="A29" i="2"/>
  <c r="A25" i="2"/>
  <c r="A21" i="2"/>
  <c r="A40" i="2"/>
  <c r="A36" i="2"/>
  <c r="A32" i="2"/>
  <c r="A28" i="2"/>
  <c r="A24" i="2"/>
  <c r="A20" i="2"/>
  <c r="A39" i="2"/>
  <c r="A35" i="2"/>
  <c r="A31" i="2"/>
  <c r="A27" i="2"/>
  <c r="A23" i="2"/>
  <c r="A19" i="2"/>
  <c r="H16" i="2"/>
  <c r="I16" i="2"/>
  <c r="H17" i="2"/>
  <c r="I17" i="2"/>
  <c r="H18" i="2"/>
  <c r="I18" i="2"/>
  <c r="H19" i="2"/>
  <c r="I19" i="2"/>
  <c r="H20" i="2"/>
  <c r="I20" i="2"/>
  <c r="H21" i="2"/>
  <c r="I21" i="2"/>
  <c r="H22" i="2"/>
  <c r="I22" i="2"/>
  <c r="H23" i="2"/>
  <c r="I23" i="2"/>
  <c r="H24" i="2"/>
  <c r="I24" i="2"/>
  <c r="H25" i="2"/>
  <c r="I25" i="2"/>
  <c r="H26" i="2"/>
  <c r="I26" i="2"/>
  <c r="H27" i="2"/>
  <c r="I27" i="2"/>
  <c r="H28" i="2"/>
  <c r="I28" i="2"/>
  <c r="H29" i="2"/>
  <c r="I29" i="2"/>
  <c r="H30" i="2"/>
  <c r="I30" i="2"/>
  <c r="H31" i="2"/>
  <c r="I31" i="2"/>
  <c r="H32" i="2"/>
  <c r="I32" i="2"/>
  <c r="H33" i="2"/>
  <c r="I33" i="2"/>
  <c r="H34" i="2"/>
  <c r="I34" i="2"/>
  <c r="H35" i="2"/>
  <c r="I35" i="2"/>
  <c r="H36" i="2"/>
  <c r="I36" i="2"/>
  <c r="H37" i="2"/>
  <c r="I37" i="2"/>
  <c r="H38" i="2"/>
  <c r="I38" i="2"/>
  <c r="H39" i="2"/>
  <c r="I39" i="2"/>
  <c r="H40" i="2"/>
  <c r="I40" i="2"/>
  <c r="J33" i="2" l="1"/>
  <c r="J31" i="2"/>
  <c r="J25" i="2"/>
  <c r="J23" i="2"/>
  <c r="J32" i="2"/>
  <c r="J24" i="2"/>
  <c r="J39" i="2"/>
  <c r="J37" i="2"/>
  <c r="J35" i="2"/>
  <c r="J17" i="2"/>
  <c r="J40" i="2"/>
  <c r="J20" i="2"/>
  <c r="J29" i="2"/>
  <c r="J27" i="2"/>
  <c r="J16" i="2"/>
  <c r="J21" i="2"/>
  <c r="J19" i="2"/>
  <c r="J38" i="2"/>
  <c r="J22" i="2"/>
  <c r="J30" i="2"/>
  <c r="J36" i="2"/>
  <c r="J28" i="2"/>
  <c r="J34" i="2"/>
  <c r="J26" i="2"/>
  <c r="J18" i="2"/>
  <c r="I17" i="21"/>
  <c r="J17" i="21"/>
  <c r="K17" i="21"/>
  <c r="H17" i="21"/>
  <c r="K16" i="21"/>
  <c r="J16" i="21"/>
  <c r="I16" i="21"/>
  <c r="H16" i="21"/>
  <c r="E9" i="21" l="1"/>
  <c r="F9" i="21"/>
  <c r="G9" i="21"/>
  <c r="D9" i="21"/>
  <c r="I21" i="21" l="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 l="1"/>
  <c r="E3" i="55"/>
  <c r="E4" i="55"/>
  <c r="E5" i="55"/>
  <c r="E6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D29" i="56" l="1"/>
  <c r="E2" i="54"/>
  <c r="E3" i="54"/>
  <c r="E4" i="54"/>
  <c r="E5" i="54"/>
  <c r="E6" i="54"/>
  <c r="E7" i="54"/>
  <c r="E8" i="54"/>
  <c r="E9" i="54"/>
  <c r="E10" i="54"/>
  <c r="D5" i="56" l="1"/>
  <c r="C33" i="21"/>
  <c r="O29" i="21" l="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E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I8" i="2"/>
  <c r="I9" i="2"/>
  <c r="I10" i="2"/>
  <c r="I11" i="2"/>
  <c r="I12" i="2"/>
  <c r="I13" i="2"/>
  <c r="I14" i="2"/>
  <c r="I15" i="2"/>
  <c r="H8" i="2" l="1"/>
  <c r="J8" i="2" s="1"/>
  <c r="H9" i="2"/>
  <c r="J9" i="2" s="1"/>
  <c r="H10" i="2"/>
  <c r="J10" i="2" s="1"/>
  <c r="H11" i="2"/>
  <c r="J11" i="2" s="1"/>
  <c r="H12" i="2"/>
  <c r="J12" i="2" s="1"/>
  <c r="H13" i="2"/>
  <c r="H14" i="2"/>
  <c r="J14" i="2" s="1"/>
  <c r="H15" i="2"/>
  <c r="J13" i="2" l="1"/>
  <c r="J1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davide de beni</author>
  </authors>
  <commentList>
    <comment ref="A1" authorId="0" shapeId="0" xr:uid="{A8BB5F1D-230B-4232-AF42-5D96210F9657}">
      <text>
        <r>
          <rPr>
            <b/>
            <sz val="9"/>
            <color indexed="81"/>
            <rFont val="Tahoma"/>
            <family val="2"/>
          </rPr>
          <t>davide de beni:</t>
        </r>
        <r>
          <rPr>
            <sz val="9"/>
            <color indexed="81"/>
            <rFont val="Tahoma"/>
            <family val="2"/>
          </rPr>
          <t xml:space="preserve">
Source: LiST (v5.71) - WPP 2017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A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<sst xmlns="http://schemas.openxmlformats.org/spreadsheetml/2006/main" count="434" uniqueCount="259">
  <si>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</si>
  <si>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</si>
  <si>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</si>
  <si>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</si>
  <si>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</si>
  <si>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</si>
  <si>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</si>
  <si>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</si>
  <si>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</si>
  <si>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</si>
  <si>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</si>
  <si>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</si>
  <si>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</si>
  <si>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</si>
  <si>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</si>
  <si>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</si>
  <si>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</si>
  <si>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</si>
  <si>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</si>
  <si>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</si>
  <si>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</si>
  <si>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</si>
  <si>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</si>
  <si>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</si>
  <si>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</si>
  <si>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</si>
  <si>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</si>
  <si>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</si>
  <si>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</si>
  <si>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</si>
  <si>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</si>
  <si>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</si>
  <si>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</si>
  <si>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</si>
  <si>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</si>
  <si>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</si>
  <si>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</si>
  <si>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</si>
  <si>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</si>
  <si>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</si>
  <si>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</si>
  <si>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</si>
  <si>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</si>
  <si>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</si>
  <si>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</si>
  <si>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</si>
  <si>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</si>
  <si>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</si>
  <si>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</si>
  <si>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</si>
  <si>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</si>
  <si>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</si>
  <si>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</si>
  <si>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</si>
  <si>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</si>
  <si>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</si>
  <si>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</si>
  <si>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</si>
  <si>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</si>
  <si>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</si>
  <si>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</si>
  <si>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</si>
  <si>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</si>
  <si>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</si>
  <si>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</si>
  <si>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</si>
  <si>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</si>
  <si>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</si>
  <si>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</si>
  <si>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</si>
  <si>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</si>
  <si>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</si>
  <si>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</si>
  <si>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</si>
  <si>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</si>
  <si>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</si>
  <si>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</si>
  <si>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</si>
  <si>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</si>
  <si>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</si>
  <si>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</si>
  <si>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</si>
  <si>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</si>
  <si>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</si>
  <si>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</si>
  <si>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</si>
  <si>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</si>
  <si>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</si>
  <si>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</si>
  <si>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</si>
  <si>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</si>
  <si>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</si>
  <si>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</si>
  <si>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</si>
  <si>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</si>
  <si>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</si>
  <si>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</si>
  <si>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</si>
  <si>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</si>
  <si>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</si>
  <si>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</si>
  <si>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</si>
  <si>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</si>
  <si>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</si>
  <si>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</si>
  <si>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</si>
  <si>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</si>
  <si>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</si>
  <si>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</si>
  <si>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</si>
  <si>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</si>
  <si>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</si>
  <si>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</si>
  <si>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Children under 5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</si>
  <si>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</si>
  <si>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</si>
  <si>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</si>
  <si>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</si>
  <si>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</si>
  <si>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</si>
  <si>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</si>
  <si>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</si>
  <si>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</si>
  <si>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</si>
  <si>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</si>
  <si>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</si>
  <si>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</si>
  <si>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</si>
  <si>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</si>
  <si>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</si>
  <si>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</si>
  <si>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</si>
  <si>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</si>
  <si>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</si>
  <si>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</si>
  <si>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</si>
  <si>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</si>
  <si>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</si>
  <si>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</si>
  <si>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</si>
  <si>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</si>
  <si>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</si>
  <si>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</si>
  <si>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</si>
  <si>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</si>
  <si>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</si>
  <si>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</si>
  <si>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</si>
  <si>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</si>
  <si>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</si>
  <si>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</si>
  <si>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</si>
  <si>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</si>
  <si>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</si>
  <si>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</si>
  <si>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</si>
  <si>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</si>
  <si>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</si>
  <si>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</si>
  <si>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</si>
  <si>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</si>
  <si>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</si>
  <si>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</si>
  <si>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</si>
  <si>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</si>
  <si>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</si>
  <si>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Exclusive</t>
  </si>
  <si>
    <t>Predominant</t>
  </si>
  <si>
    <t>Partial</t>
  </si>
  <si>
    <t>None</t>
  </si>
  <si>
    <t>Maternal (deaths per 1,000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</si>
  <si>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</si>
  <si>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</si>
  <si>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</si>
  <si>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</si>
  <si>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</si>
  <si>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</si>
  <si>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</si>
  <si>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</si>
  <si>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</si>
  <si>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</si>
  <si>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</si>
  <si>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</si>
  <si>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</si>
  <si>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</si>
  <si>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</si>
  <si>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</si>
  <si>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</si>
  <si>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(hospital)</t>
  </si>
  <si>
    <t>IFAS (retailer)</t>
  </si>
  <si>
    <t>IFAS (school)</t>
  </si>
  <si>
    <t>IFAS for pregnant women (hospital)</t>
  </si>
  <si>
    <t>Projection years</t>
  </si>
  <si>
    <t>End year</t>
  </si>
  <si>
    <t>Baseline year (projection start year)</t>
  </si>
  <si>
    <t>Unit costs (US$) by delivery modality and target population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</si>
  <si>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</si>
  <si>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</si>
  <si>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</si>
  <si>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</si>
  <si>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</si>
  <si>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</si>
  <si>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Unit cost (US$)</t>
  </si>
  <si>
    <t>WFP Comprehensive  Food Security and Vulnerability Analysis 2011-12 (Table 17 )</t>
  </si>
  <si>
    <t>Source National</t>
  </si>
  <si>
    <t>LiST (v5.71)</t>
  </si>
  <si>
    <t xml:space="preserve">   LiST (v5.71):  WHO estimates (2000-2015); http://www.who.int/healthinfo/global_burden_disease/estimates_child_cod_2015/en/</t>
  </si>
  <si>
    <t>LiST (v5.71) , DHS 2013</t>
  </si>
  <si>
    <t>Source: baseline coverage</t>
  </si>
  <si>
    <t>Source: unit cost</t>
  </si>
  <si>
    <t>Default Optima tool</t>
  </si>
  <si>
    <t>Source National:</t>
  </si>
  <si>
    <t>An Investment Framework for Nutrition; Shekar et al. 2017</t>
  </si>
  <si>
    <t>Bas-Uele</t>
  </si>
  <si>
    <t>Source</t>
  </si>
  <si>
    <t>Notes</t>
  </si>
  <si>
    <t>DHS 2013-14</t>
  </si>
  <si>
    <t>Calculated for women who were pregnant at the time of the survey</t>
  </si>
  <si>
    <t>Assuming here that severe is diarrhea is defined as diarrhea with blood. Calculated as a percentage of all diarrhea cases in past 2 weeks that were severe (had blood)</t>
  </si>
  <si>
    <t>Diarrhoea episode during the 2 weeks before survey</t>
  </si>
  <si>
    <t>All diarrhoea</t>
  </si>
  <si>
    <t>Diarrhoea with blood</t>
  </si>
  <si>
    <t>All diarrhoea &lt;1 month</t>
  </si>
  <si>
    <t>All diarrhoea 1-5 months</t>
  </si>
  <si>
    <t>All diarrhoea 6-11 months</t>
  </si>
  <si>
    <t>All diarrhoea 12-23 months</t>
  </si>
  <si>
    <t>All diarrhoea 24-59 months</t>
  </si>
  <si>
    <t>Malaria prevalence 0-5 yrs - Blood smear</t>
  </si>
  <si>
    <t>Malaria prevalence 0-5 yrs - Rapid diagnostic test</t>
  </si>
  <si>
    <t>DHS - all diarrhoea 0-59 months</t>
  </si>
  <si>
    <t>Any method (% of married women age 15-49)</t>
  </si>
  <si>
    <t>Modern method (% of married women age 15-49)</t>
  </si>
  <si>
    <t>% of women aged 15-49 who had a live birth during 2 yrs preceding survey, and during most recent pregnancy, received SP / Fansidar during an antenatal visit</t>
  </si>
  <si>
    <t>% of women aged 15-49 who had a live birth during 2 yrs preceding survey, and during most recent pregnancy, took two or more doses and received at least one during a prenatal visit</t>
  </si>
  <si>
    <t>Among  children under 5 yrs who had diarrhoea episode during 2 weeks before survey</t>
  </si>
  <si>
    <t>Among youngest child age 6-59 months, % who were given vitamin A supplementation in past 6 months</t>
  </si>
  <si>
    <t xml:space="preserve">Among women who had live-birth in past five years, % who received a dose of Vitamin A post-partum for most recent born child </t>
  </si>
  <si>
    <t>Maternal mortality (per 100,000 live births)</t>
  </si>
  <si>
    <t>Four or more ANC visits</t>
  </si>
  <si>
    <t>Children age 12-23 months that received all recommended vaccines</t>
  </si>
  <si>
    <t>(http://datacompass.lshtm.ac.uk/115/</t>
  </si>
  <si>
    <t>Lee AC, Katz J, Blencowe H, et al. National and regional estimates of term and preterm babies born small for gestational age in 138 low-income and middle-income countries in 2010. Lancet Global Health 2013; 1(1): e26-36.</t>
  </si>
  <si>
    <t>Walker, Christa L. Fischer, et al. "Global burden of childhood pneumonia and diarrhoea." The Lancet 381.9875 (2013): 1405-1416.</t>
  </si>
  <si>
    <t>WHO estimates 1996-2012. Source: Stevens GA, Finucane MM, De-Regil LM, et al. Global, regional, and national trends in haemoglobin concentration and prevalence of total and severe anaemia in children and pregnant and non-pregnant women for 1995-2011: a systematic analysis of population-representative data. Lancet Global Health 2013; 1(1): e16-25. http://www.ncbi.nlm.nih.gov/pubmed/25103581. (Unpublished data from the authors.)</t>
  </si>
  <si>
    <t>No data in DHS - NATIONAL estimate</t>
  </si>
  <si>
    <t>NATIONAL estimate</t>
  </si>
  <si>
    <t>For women who had birth in past 5 yrs, percentage who took iron - NOTE - no infomration about whether given in hospital or community, and no information about folic acid</t>
  </si>
  <si>
    <t>Not available</t>
  </si>
  <si>
    <t>Notes: baseline coverage</t>
  </si>
  <si>
    <t xml:space="preserve">Ministere du plan - Institut National de la Statistique. 2017. Annuaire Statistique 2015. </t>
  </si>
  <si>
    <t>Percentage of population living below $1.90</t>
  </si>
  <si>
    <t>Mapped from old to new provinces</t>
  </si>
  <si>
    <t>2012-13 Household consumption survey</t>
  </si>
  <si>
    <t>Use National figure for proportion of population engaged in informal agriculture</t>
  </si>
  <si>
    <t>No data in DHS - used national estimate from List</t>
  </si>
  <si>
    <t>No data in DHS - used national estimate from datacompass</t>
  </si>
  <si>
    <t>No data in DHS - used national estimate from Lee et al</t>
  </si>
  <si>
    <t>No data in DHS - used national data form Walker</t>
  </si>
  <si>
    <t>Haut-Uele Baseline Coverage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</si>
</sst>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  <numFmt numFmtId="167" formatCode="0.0"/>
  </numFmts>
  <fonts count="34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rgb="FF000000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color theme="1"/>
      <name val="Arial"/>
      <family val="2"/>
    </font>
    <font>
      <i/>
      <sz val="10"/>
      <color rgb="FFFF000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729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6" fillId="0" borderId="0"/>
    <xf numFmtId="0" fontId="3" fillId="0" borderId="0"/>
    <xf numFmtId="0" fontId="2" fillId="0" borderId="0"/>
    <xf numFmtId="9" fontId="2" fillId="0" borderId="0" applyFont="0" applyFill="0" applyBorder="0" applyAlignment="0" applyProtection="0"/>
  </cellStyleXfs>
  <cellXfs count="158">
    <xf numFmtId="0" fontId="0" fillId="0" borderId="0" xfId="0" applyFont="1" applyAlignment="1"/>
    <xf numFmtId="0" fontId="4" fillId="0" borderId="0" xfId="0" applyFont="1" applyAlignment="1"/>
    <xf numFmtId="0" fontId="5" fillId="0" borderId="0" xfId="0" applyFont="1" applyAlignment="1">
      <alignment horizontal="center"/>
    </xf>
    <xf numFmtId="0" fontId="5" fillId="0" borderId="0" xfId="0" applyFont="1" applyAlignment="1"/>
    <xf numFmtId="0" fontId="10" fillId="0" borderId="0" xfId="0" applyFont="1" applyAlignment="1"/>
    <xf numFmtId="0" fontId="0" fillId="0" borderId="0" xfId="0" applyFont="1" applyFill="1" applyAlignment="1"/>
    <xf numFmtId="0" fontId="5" fillId="0" borderId="0" xfId="0" applyFont="1" applyFill="1" applyAlignment="1"/>
    <xf numFmtId="2" fontId="0" fillId="2" borderId="1" xfId="0" applyNumberFormat="1" applyFont="1" applyFill="1" applyBorder="1" applyAlignment="1">
      <alignment horizontal="right"/>
    </xf>
    <xf numFmtId="3" fontId="6" fillId="2" borderId="1" xfId="0" applyNumberFormat="1" applyFont="1" applyFill="1" applyBorder="1" applyAlignment="1">
      <alignment horizontal="center"/>
    </xf>
    <xf numFmtId="0" fontId="5" fillId="0" borderId="0" xfId="0" applyFont="1" applyAlignment="1">
      <alignment horizontal="right"/>
    </xf>
    <xf numFmtId="10" fontId="0" fillId="0" borderId="0" xfId="0" applyNumberFormat="1" applyFont="1" applyAlignment="1"/>
    <xf numFmtId="0" fontId="10" fillId="0" borderId="0" xfId="0" applyFont="1" applyAlignment="1">
      <alignment wrapText="1"/>
    </xf>
    <xf numFmtId="0" fontId="5" fillId="0" borderId="0" xfId="0" applyFont="1" applyFill="1" applyBorder="1" applyAlignment="1">
      <alignment horizontal="right"/>
    </xf>
    <xf numFmtId="0" fontId="12" fillId="0" borderId="0" xfId="0" applyFont="1" applyFill="1" applyAlignment="1">
      <alignment horizontal="center"/>
    </xf>
    <xf numFmtId="0" fontId="5" fillId="0" borderId="0" xfId="0" applyFont="1" applyFill="1" applyAlignment="1">
      <alignment horizontal="right"/>
    </xf>
    <xf numFmtId="0" fontId="6" fillId="0" borderId="0" xfId="0" applyFont="1" applyAlignment="1"/>
    <xf numFmtId="0" fontId="6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6" fillId="0" borderId="0" xfId="0" applyFont="1" applyAlignment="1">
      <alignment horizontal="right"/>
    </xf>
    <xf numFmtId="43" fontId="6" fillId="0" borderId="0" xfId="0" applyNumberFormat="1" applyFont="1" applyAlignment="1"/>
    <xf numFmtId="0" fontId="10" fillId="0" borderId="0" xfId="0" applyFont="1" applyAlignment="1">
      <alignment horizontal="right"/>
    </xf>
    <xf numFmtId="0" fontId="13" fillId="0" borderId="0" xfId="0" applyFont="1" applyAlignment="1">
      <alignment horizontal="right"/>
    </xf>
    <xf numFmtId="0" fontId="6" fillId="0" borderId="0" xfId="0" applyFont="1" applyAlignment="1">
      <alignment wrapText="1"/>
    </xf>
    <xf numFmtId="164" fontId="6" fillId="2" borderId="1" xfId="0" applyNumberFormat="1" applyFont="1" applyFill="1" applyBorder="1" applyAlignment="1"/>
    <xf numFmtId="164" fontId="11" fillId="3" borderId="1" xfId="9" applyNumberFormat="1" applyFont="1" applyFill="1" applyBorder="1" applyAlignment="1"/>
    <xf numFmtId="0" fontId="6" fillId="0" borderId="0" xfId="0" applyFont="1" applyAlignment="1">
      <alignment horizontal="right" wrapText="1"/>
    </xf>
    <xf numFmtId="0" fontId="6" fillId="0" borderId="0" xfId="0" applyFont="1" applyAlignment="1">
      <alignment horizontal="right" vertical="center"/>
    </xf>
    <xf numFmtId="1" fontId="11" fillId="3" borderId="1" xfId="9" applyNumberFormat="1" applyFont="1" applyFill="1" applyBorder="1" applyAlignment="1">
      <alignment horizontal="right"/>
    </xf>
    <xf numFmtId="0" fontId="5" fillId="0" borderId="0" xfId="0" applyFont="1" applyAlignment="1">
      <alignment horizontal="right" wrapText="1"/>
    </xf>
    <xf numFmtId="165" fontId="11" fillId="3" borderId="1" xfId="9" applyNumberFormat="1" applyFont="1" applyFill="1" applyBorder="1" applyAlignment="1">
      <alignment horizontal="right"/>
    </xf>
    <xf numFmtId="0" fontId="4" fillId="0" borderId="0" xfId="0" applyFont="1" applyAlignment="1">
      <alignment wrapText="1"/>
    </xf>
    <xf numFmtId="166" fontId="6" fillId="2" borderId="1" xfId="0" applyNumberFormat="1" applyFont="1" applyFill="1" applyBorder="1" applyAlignment="1">
      <alignment horizontal="right"/>
    </xf>
    <xf numFmtId="166" fontId="6" fillId="0" borderId="0" xfId="0" applyNumberFormat="1" applyFont="1" applyAlignment="1"/>
    <xf numFmtId="0" fontId="5" fillId="0" borderId="0" xfId="0" applyFont="1" applyFill="1" applyBorder="1" applyAlignment="1">
      <alignment horizontal="right" vertical="center" wrapText="1"/>
    </xf>
    <xf numFmtId="0" fontId="4" fillId="0" borderId="0" xfId="0" applyFont="1" applyAlignment="1">
      <alignment horizontal="right" wrapText="1"/>
    </xf>
    <xf numFmtId="0" fontId="14" fillId="0" borderId="0" xfId="0" applyFont="1" applyAlignment="1">
      <alignment horizontal="right" vertical="center"/>
    </xf>
    <xf numFmtId="166" fontId="11" fillId="3" borderId="1" xfId="10" applyNumberFormat="1" applyFont="1" applyFill="1" applyBorder="1" applyAlignment="1">
      <alignment horizontal="right"/>
    </xf>
    <xf numFmtId="0" fontId="0" fillId="0" borderId="0" xfId="0" applyFont="1" applyFill="1" applyAlignment="1">
      <alignment horizontal="right"/>
    </xf>
    <xf numFmtId="0" fontId="6" fillId="0" borderId="0" xfId="0" applyFont="1" applyFill="1" applyBorder="1" applyAlignment="1">
      <alignment horizontal="right"/>
    </xf>
    <xf numFmtId="2" fontId="11" fillId="3" borderId="0" xfId="0" applyNumberFormat="1" applyFont="1" applyFill="1" applyAlignment="1">
      <alignment horizontal="center"/>
    </xf>
    <xf numFmtId="0" fontId="11" fillId="3" borderId="0" xfId="0" applyFont="1" applyFill="1" applyAlignment="1">
      <alignment horizontal="center"/>
    </xf>
    <xf numFmtId="0" fontId="6" fillId="0" borderId="0" xfId="725" applyFont="1" applyAlignment="1"/>
    <xf numFmtId="0" fontId="6" fillId="0" borderId="0" xfId="725" applyFont="1" applyFill="1" applyAlignment="1"/>
    <xf numFmtId="0" fontId="6" fillId="0" borderId="0" xfId="725" applyNumberFormat="1" applyFont="1" applyFill="1" applyAlignment="1"/>
    <xf numFmtId="0" fontId="17" fillId="0" borderId="0" xfId="725" applyNumberFormat="1" applyFont="1" applyAlignment="1"/>
    <xf numFmtId="0" fontId="17" fillId="0" borderId="0" xfId="725" applyFont="1" applyAlignment="1"/>
    <xf numFmtId="0" fontId="10" fillId="0" borderId="0" xfId="725" applyFont="1" applyAlignment="1"/>
    <xf numFmtId="0" fontId="18" fillId="0" borderId="0" xfId="0" applyFont="1" applyFill="1" applyAlignment="1">
      <alignment horizontal="right"/>
    </xf>
    <xf numFmtId="0" fontId="6" fillId="0" borderId="0" xfId="0" applyFont="1" applyFill="1" applyAlignment="1">
      <alignment horizontal="right"/>
    </xf>
    <xf numFmtId="0" fontId="5" fillId="0" borderId="0" xfId="725" applyFont="1" applyAlignment="1"/>
    <xf numFmtId="0" fontId="6" fillId="0" borderId="2" xfId="725" applyFont="1" applyBorder="1" applyAlignment="1"/>
    <xf numFmtId="0" fontId="6" fillId="0" borderId="0" xfId="725" applyFont="1" applyBorder="1" applyAlignment="1"/>
    <xf numFmtId="166" fontId="6" fillId="2" borderId="1" xfId="725" applyNumberFormat="1" applyFont="1" applyFill="1" applyBorder="1" applyAlignment="1">
      <alignment horizontal="right" vertical="center"/>
    </xf>
    <xf numFmtId="0" fontId="10" fillId="0" borderId="6" xfId="725" applyFont="1" applyBorder="1" applyAlignment="1"/>
    <xf numFmtId="0" fontId="10" fillId="0" borderId="5" xfId="725" applyFont="1" applyBorder="1" applyAlignment="1"/>
    <xf numFmtId="0" fontId="10" fillId="0" borderId="1" xfId="725" applyFont="1" applyBorder="1" applyAlignment="1"/>
    <xf numFmtId="0" fontId="5" fillId="0" borderId="0" xfId="726" applyFont="1" applyFill="1" applyAlignment="1">
      <alignment horizontal="right"/>
    </xf>
    <xf numFmtId="9" fontId="5" fillId="2" borderId="1" xfId="725" applyNumberFormat="1" applyFont="1" applyFill="1" applyBorder="1" applyAlignment="1"/>
    <xf numFmtId="2" fontId="5" fillId="2" borderId="1" xfId="725" applyNumberFormat="1" applyFont="1" applyFill="1" applyBorder="1" applyAlignment="1"/>
    <xf numFmtId="0" fontId="4" fillId="0" borderId="0" xfId="725" applyFont="1" applyAlignment="1"/>
    <xf numFmtId="0" fontId="4" fillId="0" borderId="0" xfId="725" applyFont="1" applyAlignment="1">
      <alignment wrapText="1"/>
    </xf>
    <xf numFmtId="0" fontId="4" fillId="0" borderId="0" xfId="725" applyFont="1" applyFill="1" applyAlignment="1"/>
    <xf numFmtId="0" fontId="3" fillId="0" borderId="0" xfId="726"/>
    <xf numFmtId="2" fontId="3" fillId="0" borderId="0" xfId="726" applyNumberFormat="1"/>
    <xf numFmtId="0" fontId="3" fillId="0" borderId="0" xfId="726" applyFont="1" applyAlignment="1"/>
    <xf numFmtId="0" fontId="19" fillId="0" borderId="0" xfId="726" applyFont="1"/>
    <xf numFmtId="0" fontId="10" fillId="0" borderId="0" xfId="726" applyFont="1" applyAlignment="1"/>
    <xf numFmtId="0" fontId="10" fillId="0" borderId="0" xfId="726" applyFont="1" applyAlignment="1">
      <alignment wrapText="1"/>
    </xf>
    <xf numFmtId="0" fontId="10" fillId="0" borderId="0" xfId="0" applyFont="1" applyFill="1" applyAlignment="1"/>
    <xf numFmtId="0" fontId="6" fillId="0" borderId="0" xfId="725" applyFont="1" applyFill="1" applyAlignment="1">
      <alignment horizontal="right"/>
    </xf>
    <xf numFmtId="0" fontId="23" fillId="0" borderId="0" xfId="0" applyFont="1" applyFill="1" applyAlignment="1"/>
    <xf numFmtId="0" fontId="10" fillId="0" borderId="2" xfId="725" applyFont="1" applyBorder="1" applyAlignment="1"/>
    <xf numFmtId="0" fontId="6" fillId="2" borderId="1" xfId="10" applyNumberFormat="1" applyFont="1" applyFill="1" applyBorder="1" applyAlignment="1">
      <alignment horizontal="right"/>
    </xf>
    <xf numFmtId="0" fontId="6" fillId="2" borderId="1" xfId="10" applyNumberFormat="1" applyFont="1" applyFill="1" applyBorder="1" applyAlignment="1"/>
    <xf numFmtId="0" fontId="6" fillId="2" borderId="1" xfId="725" applyNumberFormat="1" applyFont="1" applyFill="1" applyBorder="1" applyAlignment="1">
      <alignment horizontal="right" vertical="center"/>
    </xf>
    <xf numFmtId="0" fontId="22" fillId="3" borderId="4" xfId="725" applyNumberFormat="1" applyFont="1" applyFill="1" applyBorder="1" applyAlignment="1"/>
    <xf numFmtId="0" fontId="6" fillId="3" borderId="3" xfId="725" applyNumberFormat="1" applyFont="1" applyFill="1" applyBorder="1" applyAlignment="1"/>
    <xf numFmtId="0" fontId="6" fillId="3" borderId="2" xfId="725" applyNumberFormat="1" applyFont="1" applyFill="1" applyBorder="1" applyAlignment="1"/>
    <xf numFmtId="0" fontId="6" fillId="0" borderId="0" xfId="725" applyNumberFormat="1" applyFont="1" applyAlignment="1"/>
    <xf numFmtId="164" fontId="6" fillId="2" borderId="1" xfId="9" applyNumberFormat="1" applyFont="1" applyFill="1" applyBorder="1" applyAlignment="1">
      <alignment horizontal="center"/>
    </xf>
    <xf numFmtId="164" fontId="6" fillId="2" borderId="1" xfId="9" applyNumberFormat="1" applyFont="1" applyFill="1" applyBorder="1" applyAlignment="1"/>
    <xf numFmtId="10" fontId="5" fillId="2" borderId="1" xfId="10" applyNumberFormat="1" applyFont="1" applyFill="1" applyBorder="1" applyAlignment="1">
      <alignment horizontal="right"/>
    </xf>
    <xf numFmtId="10" fontId="6" fillId="2" borderId="2" xfId="10" applyNumberFormat="1" applyFont="1" applyFill="1" applyBorder="1" applyAlignment="1">
      <alignment horizontal="right"/>
    </xf>
    <xf numFmtId="0" fontId="6" fillId="0" borderId="0" xfId="0" applyFont="1" applyAlignment="1">
      <alignment horizontal="left" indent="1"/>
    </xf>
    <xf numFmtId="43" fontId="6" fillId="0" borderId="0" xfId="0" applyNumberFormat="1" applyFont="1" applyAlignment="1">
      <alignment horizontal="left" indent="1"/>
    </xf>
    <xf numFmtId="0" fontId="10" fillId="5" borderId="1" xfId="0" applyFont="1" applyFill="1" applyBorder="1" applyAlignment="1">
      <alignment horizontal="left" indent="1"/>
    </xf>
    <xf numFmtId="0" fontId="6" fillId="0" borderId="0" xfId="0" applyFont="1" applyFill="1" applyAlignment="1">
      <alignment horizontal="right" wrapText="1"/>
    </xf>
    <xf numFmtId="0" fontId="10" fillId="5" borderId="1" xfId="0" applyFont="1" applyFill="1" applyBorder="1" applyAlignment="1">
      <alignment horizontal="left" wrapText="1" indent="1"/>
    </xf>
    <xf numFmtId="0" fontId="6" fillId="5" borderId="1" xfId="725" applyFont="1" applyFill="1" applyBorder="1" applyAlignment="1"/>
    <xf numFmtId="0" fontId="5" fillId="5" borderId="1" xfId="725" applyFont="1" applyFill="1" applyBorder="1" applyAlignment="1"/>
    <xf numFmtId="0" fontId="10" fillId="5" borderId="1" xfId="0" applyFont="1" applyFill="1" applyBorder="1" applyAlignment="1">
      <alignment horizontal="left" wrapText="1"/>
    </xf>
    <xf numFmtId="0" fontId="4" fillId="4" borderId="0" xfId="726" applyFont="1" applyFill="1" applyAlignment="1">
      <alignment horizontal="right"/>
    </xf>
    <xf numFmtId="0" fontId="4" fillId="4" borderId="0" xfId="0" applyFont="1" applyFill="1" applyAlignment="1">
      <alignment horizontal="right"/>
    </xf>
    <xf numFmtId="0" fontId="10" fillId="5" borderId="1" xfId="0" applyFont="1" applyFill="1" applyBorder="1" applyAlignment="1">
      <alignment horizontal="right" indent="1"/>
    </xf>
    <xf numFmtId="0" fontId="27" fillId="0" borderId="0" xfId="727" applyFont="1" applyFill="1"/>
    <xf numFmtId="0" fontId="28" fillId="0" borderId="0" xfId="727" applyFont="1" applyFill="1"/>
    <xf numFmtId="166" fontId="0" fillId="0" borderId="0" xfId="10" applyNumberFormat="1" applyFont="1"/>
    <xf numFmtId="0" fontId="0" fillId="0" borderId="0" xfId="0"/>
    <xf numFmtId="0" fontId="29" fillId="0" borderId="0" xfId="0" applyFont="1"/>
    <xf numFmtId="167" fontId="6" fillId="0" borderId="0" xfId="0" applyNumberFormat="1" applyFont="1" applyAlignment="1"/>
    <xf numFmtId="0" fontId="30" fillId="0" borderId="0" xfId="0" applyFont="1" applyAlignment="1">
      <alignment horizontal="right"/>
    </xf>
    <xf numFmtId="0" fontId="5" fillId="0" borderId="0" xfId="0" applyFont="1" applyFill="1" applyAlignment="1">
      <alignment horizontal="right" wrapText="1"/>
    </xf>
    <xf numFmtId="166" fontId="0" fillId="0" borderId="0" xfId="0" applyNumberFormat="1"/>
    <xf numFmtId="166" fontId="0" fillId="0" borderId="0" xfId="0" applyNumberFormat="1" applyFont="1" applyAlignment="1"/>
    <xf numFmtId="0" fontId="6" fillId="5" borderId="1" xfId="0" applyFont="1" applyFill="1" applyBorder="1" applyAlignment="1">
      <alignment horizontal="left" vertical="center" wrapText="1"/>
    </xf>
    <xf numFmtId="166" fontId="6" fillId="0" borderId="0" xfId="10" applyNumberFormat="1" applyFont="1" applyAlignment="1"/>
    <xf numFmtId="0" fontId="31" fillId="0" borderId="0" xfId="0" applyFont="1" applyAlignment="1"/>
    <xf numFmtId="166" fontId="0" fillId="0" borderId="0" xfId="10" applyNumberFormat="1" applyFont="1" applyAlignment="1"/>
    <xf numFmtId="0" fontId="6" fillId="5" borderId="1" xfId="0" applyFont="1" applyFill="1" applyBorder="1" applyAlignment="1">
      <alignment horizontal="left"/>
    </xf>
    <xf numFmtId="0" fontId="6" fillId="5" borderId="1" xfId="0" applyFont="1" applyFill="1" applyBorder="1" applyAlignment="1">
      <alignment horizontal="left" vertical="center"/>
    </xf>
    <xf numFmtId="0" fontId="10" fillId="5" borderId="1" xfId="0" applyFont="1" applyFill="1" applyBorder="1" applyAlignment="1"/>
    <xf numFmtId="0" fontId="6" fillId="5" borderId="1" xfId="0" applyFont="1" applyFill="1" applyBorder="1" applyAlignment="1">
      <alignment horizontal="left" wrapText="1"/>
    </xf>
    <xf numFmtId="0" fontId="6" fillId="5" borderId="1" xfId="0" applyFont="1" applyFill="1" applyBorder="1" applyAlignment="1"/>
    <xf numFmtId="0" fontId="32" fillId="5" borderId="1" xfId="0" applyFont="1" applyFill="1" applyBorder="1"/>
    <xf numFmtId="0" fontId="33" fillId="5" borderId="1" xfId="727" applyFont="1" applyFill="1" applyBorder="1"/>
    <xf numFmtId="0" fontId="5" fillId="5" borderId="1" xfId="726" applyFont="1" applyFill="1" applyBorder="1" applyAlignment="1">
      <alignment horizontal="left"/>
    </xf>
    <xf numFmtId="2" fontId="11" fillId="2" borderId="1" xfId="725" applyNumberFormat="1" applyFont="1" applyFill="1" applyBorder="1" applyAlignment="1"/>
    <xf numFmtId="0" fontId="11" fillId="2" borderId="1" xfId="725" applyFont="1" applyFill="1" applyBorder="1" applyAlignment="1"/>
    <xf numFmtId="2" fontId="11" fillId="2" borderId="1" xfId="725" quotePrefix="1" applyNumberFormat="1" applyFont="1" applyFill="1" applyBorder="1" applyAlignment="1"/>
    <xf numFmtId="167" fontId="6" fillId="0" borderId="0" xfId="0" applyNumberFormat="1" applyFont="1" applyFill="1" applyBorder="1" applyAlignment="1"/>
    <xf numFmtId="0" fontId="29" fillId="0" borderId="0" xfId="0" applyFont="1" applyFill="1" applyBorder="1"/>
    <xf numFmtId="0" fontId="6" fillId="0" borderId="0" xfId="0" applyFont="1" applyFill="1" applyBorder="1" applyAlignment="1">
      <alignment vertical="center" wrapText="1"/>
    </xf>
    <xf numFmtId="0" fontId="6" fillId="0" borderId="0" xfId="0" applyFont="1" applyFill="1" applyBorder="1" applyAlignment="1">
      <alignment vertical="center"/>
    </xf>
    <xf numFmtId="0" fontId="6" fillId="0" borderId="0" xfId="0" applyFont="1" applyFill="1" applyBorder="1" applyAlignment="1"/>
    <xf numFmtId="0" fontId="6" fillId="5" borderId="3" xfId="0" applyFont="1" applyFill="1" applyBorder="1" applyAlignment="1">
      <alignment vertical="center" wrapText="1"/>
    </xf>
    <xf numFmtId="0" fontId="6" fillId="5" borderId="3" xfId="0" applyFont="1" applyFill="1" applyBorder="1" applyAlignment="1">
      <alignment vertical="center"/>
    </xf>
    <xf numFmtId="9" fontId="11" fillId="0" borderId="0" xfId="10" applyFont="1" applyFill="1" applyBorder="1" applyAlignment="1"/>
    <xf numFmtId="0" fontId="6" fillId="5" borderId="3" xfId="0" applyFont="1" applyFill="1" applyBorder="1" applyAlignment="1">
      <alignment horizontal="left" vertical="center" wrapText="1"/>
    </xf>
    <xf numFmtId="0" fontId="6" fillId="5" borderId="3" xfId="0" applyFont="1" applyFill="1" applyBorder="1" applyAlignment="1"/>
    <xf numFmtId="166" fontId="0" fillId="2" borderId="1" xfId="10" applyNumberFormat="1" applyFont="1" applyFill="1" applyBorder="1"/>
    <xf numFmtId="166" fontId="6" fillId="2" borderId="1" xfId="10" applyNumberFormat="1" applyFont="1" applyFill="1" applyBorder="1" applyAlignment="1"/>
    <xf numFmtId="167" fontId="0" fillId="2" borderId="1" xfId="0" applyNumberFormat="1" applyFill="1" applyBorder="1"/>
    <xf numFmtId="166" fontId="0" fillId="2" borderId="1" xfId="10" applyNumberFormat="1" applyFont="1" applyFill="1" applyBorder="1" applyAlignment="1"/>
    <xf numFmtId="167" fontId="6" fillId="2" borderId="1" xfId="0" applyNumberFormat="1" applyFont="1" applyFill="1" applyBorder="1" applyAlignment="1"/>
    <xf numFmtId="0" fontId="6" fillId="0" borderId="0" xfId="0" applyNumberFormat="1" applyFont="1" applyAlignment="1"/>
    <xf numFmtId="166" fontId="6" fillId="2" borderId="1" xfId="10" applyNumberFormat="1" applyFont="1" applyFill="1" applyBorder="1" applyAlignment="1">
      <alignment horizontal="right"/>
    </xf>
    <xf numFmtId="0" fontId="0" fillId="2" borderId="1" xfId="0" applyFill="1" applyBorder="1"/>
    <xf numFmtId="10" fontId="0" fillId="2" borderId="1" xfId="10" applyNumberFormat="1" applyFont="1" applyFill="1" applyBorder="1"/>
    <xf numFmtId="166" fontId="0" fillId="2" borderId="1" xfId="0" applyNumberFormat="1" applyFill="1" applyBorder="1"/>
    <xf numFmtId="0" fontId="6" fillId="2" borderId="1" xfId="725" applyFont="1" applyFill="1" applyBorder="1" applyAlignment="1"/>
    <xf numFmtId="0" fontId="27" fillId="0" borderId="0" xfId="727" applyFont="1" applyFill="1" applyAlignment="1">
      <alignment wrapText="1"/>
    </xf>
    <xf numFmtId="0" fontId="6" fillId="5" borderId="5" xfId="0" applyFont="1" applyFill="1" applyBorder="1" applyAlignment="1">
      <alignment vertical="center" wrapText="1"/>
    </xf>
    <xf numFmtId="0" fontId="6" fillId="5" borderId="7" xfId="0" applyFont="1" applyFill="1" applyBorder="1" applyAlignment="1">
      <alignment vertical="center" wrapText="1"/>
    </xf>
    <xf numFmtId="0" fontId="6" fillId="5" borderId="8" xfId="0" applyFont="1" applyFill="1" applyBorder="1" applyAlignment="1">
      <alignment vertical="center" wrapText="1"/>
    </xf>
    <xf numFmtId="43" fontId="6" fillId="5" borderId="3" xfId="0" applyNumberFormat="1" applyFont="1" applyFill="1" applyBorder="1" applyAlignment="1">
      <alignment horizontal="left" vertical="center" wrapText="1"/>
    </xf>
    <xf numFmtId="0" fontId="6" fillId="5" borderId="1" xfId="0" applyFont="1" applyFill="1" applyBorder="1" applyAlignment="1">
      <alignment horizontal="left" vertical="center" wrapText="1" indent="1"/>
    </xf>
    <xf numFmtId="0" fontId="6" fillId="5" borderId="1" xfId="0" applyFont="1" applyFill="1" applyBorder="1" applyAlignment="1">
      <alignment horizontal="left" vertical="center"/>
    </xf>
    <xf numFmtId="43" fontId="6" fillId="5" borderId="1" xfId="0" applyNumberFormat="1" applyFont="1" applyFill="1" applyBorder="1" applyAlignment="1">
      <alignment horizontal="left" vertical="center" wrapText="1"/>
    </xf>
    <xf numFmtId="0" fontId="6" fillId="5" borderId="1" xfId="0" applyFont="1" applyFill="1" applyBorder="1" applyAlignment="1">
      <alignment horizontal="left" vertical="center" wrapText="1"/>
    </xf>
    <xf numFmtId="0" fontId="0" fillId="5" borderId="1" xfId="0" applyFont="1" applyFill="1" applyBorder="1" applyAlignment="1">
      <alignment horizontal="left" vertical="center" wrapText="1"/>
    </xf>
    <xf numFmtId="10" fontId="6" fillId="5" borderId="1" xfId="0" applyNumberFormat="1" applyFont="1" applyFill="1" applyBorder="1" applyAlignment="1">
      <alignment horizontal="center"/>
    </xf>
    <xf numFmtId="10" fontId="0" fillId="5" borderId="1" xfId="0" applyNumberFormat="1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horizontal="center"/>
    </xf>
    <xf numFmtId="0" fontId="26" fillId="5" borderId="1" xfId="0" applyFont="1" applyFill="1" applyBorder="1" applyAlignment="1">
      <alignment horizontal="center" vertical="center" wrapText="1"/>
    </xf>
    <xf numFmtId="0" fontId="6" fillId="5" borderId="1" xfId="725" applyFont="1" applyFill="1" applyBorder="1" applyAlignment="1">
      <alignment horizontal="center" vertical="center" wrapText="1"/>
    </xf>
    <xf numFmtId="166" fontId="1" fillId="2" borderId="1" xfId="10" applyNumberFormat="1" applyFont="1" applyFill="1" applyBorder="1"/>
  </cellXfs>
  <cellStyles count="729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4020000}"/>
    <cellStyle name="Normal 3" xfId="726" xr:uid="{00000000-0005-0000-0000-0000D5020000}"/>
    <cellStyle name="Normal 4" xfId="727" xr:uid="{00000000-0005-0000-0000-000003030000}"/>
    <cellStyle name="Percent" xfId="10" builtinId="5"/>
    <cellStyle name="Percent 2" xfId="728" xr:uid="{00000000-0005-0000-0000-000004030000}"/>
  </cellStyles>
  <dxfs count="2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CCFFCC"/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18</xdr:row>
      <xdr:rowOff>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18</xdr:row>
      <xdr:rowOff>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18</xdr:row>
      <xdr:rowOff>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18</xdr:row>
      <xdr:rowOff>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18</xdr:row>
      <xdr:rowOff>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18</xdr:row>
      <xdr:rowOff>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18</xdr:row>
      <xdr:rowOff>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18</xdr:row>
      <xdr:rowOff>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18</xdr:row>
      <xdr:rowOff>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18</xdr:row>
      <xdr:rowOff>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18</xdr:row>
      <xdr:rowOff>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18</xdr:row>
      <xdr:rowOff>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18</xdr:row>
      <xdr:rowOff>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18</xdr:row>
      <xdr:rowOff>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18</xdr:row>
      <xdr:rowOff>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18</xdr:row>
      <xdr:rowOff>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18</xdr:row>
      <xdr:rowOff>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18</xdr:row>
      <xdr:rowOff>0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18</xdr:row>
      <xdr:rowOff>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H72"/>
  <sheetViews>
    <sheetView tabSelected="1" zoomScale="119" zoomScaleNormal="115" workbookViewId="0">
      <selection activeCell="E3" sqref="E3"/>
    </sheetView>
  </sheetViews>
  <sheetFormatPr defaultColWidth="14.36328125" defaultRowHeight="15.75" customHeight="1" x14ac:dyDescent="0.25"/>
  <cols>
    <col min="1" max="1" width="30.6328125" style="15" customWidth="1"/>
    <col min="2" max="2" width="38.54296875" style="19" customWidth="1"/>
    <col min="3" max="3" width="14.36328125" style="15" customWidth="1"/>
    <col min="4" max="4" width="30.453125" style="84" customWidth="1"/>
    <col min="5" max="5" width="58.08984375" style="15" customWidth="1"/>
    <col min="6" max="6" width="19.90625" style="15" customWidth="1"/>
    <col min="7" max="16384" width="14.36328125" style="15"/>
  </cols>
  <sheetData>
    <row r="1" spans="1:7" ht="27" customHeight="1" x14ac:dyDescent="0.35">
      <c r="A1" s="1" t="s">
        <v>100</v>
      </c>
      <c r="B1" s="48" t="s">
        <v>165</v>
      </c>
      <c r="C1" s="95" t="s">
        <v>213</v>
      </c>
      <c r="D1" s="111" t="s">
        <v>214</v>
      </c>
      <c r="E1" s="111" t="s">
        <v>215</v>
      </c>
      <c r="F1" s="95"/>
      <c r="G1" s="96"/>
    </row>
    <row r="2" spans="1:7" ht="16" customHeight="1" x14ac:dyDescent="0.3">
      <c r="A2" s="15" t="s">
        <v>192</v>
      </c>
      <c r="B2" s="48"/>
    </row>
    <row r="3" spans="1:7" ht="16" customHeight="1" x14ac:dyDescent="0.3">
      <c r="A3" s="1"/>
      <c r="B3" s="9" t="s">
        <v>194</v>
      </c>
      <c r="C3" s="73">
        <v>2017</v>
      </c>
    </row>
    <row r="4" spans="1:7" ht="16" customHeight="1" x14ac:dyDescent="0.3">
      <c r="A4" s="1"/>
      <c r="B4" s="12" t="s">
        <v>193</v>
      </c>
      <c r="C4" s="74">
        <v>2030</v>
      </c>
    </row>
    <row r="5" spans="1:7" ht="16" customHeight="1" x14ac:dyDescent="0.3">
      <c r="A5" s="1"/>
      <c r="B5" s="48"/>
    </row>
    <row r="6" spans="1:7" ht="15" customHeight="1" x14ac:dyDescent="0.25">
      <c r="A6" s="15" t="s">
        <v>48</v>
      </c>
    </row>
    <row r="7" spans="1:7" ht="15" customHeight="1" x14ac:dyDescent="0.35">
      <c r="B7" s="9" t="s">
        <v>106</v>
      </c>
      <c r="C7" s="157">
        <v>0.57999999999999996</v>
      </c>
      <c r="D7" s="109" t="s">
        <v>203</v>
      </c>
      <c r="E7" s="113" t="s">
        <v>251</v>
      </c>
      <c r="F7" s="98"/>
    </row>
    <row r="8" spans="1:7" ht="38.25" customHeight="1" x14ac:dyDescent="0.3">
      <c r="A8" s="107"/>
      <c r="B8" s="12" t="s">
        <v>107</v>
      </c>
      <c r="C8" s="130">
        <v>0.54469999999999996</v>
      </c>
      <c r="D8" s="109" t="s">
        <v>216</v>
      </c>
      <c r="E8" s="112" t="s">
        <v>227</v>
      </c>
      <c r="F8" s="98"/>
    </row>
    <row r="9" spans="1:7" ht="38.25" customHeight="1" x14ac:dyDescent="0.3">
      <c r="A9" s="107"/>
      <c r="B9" s="12"/>
      <c r="C9" s="131">
        <v>0.73089999999999999</v>
      </c>
      <c r="D9" s="109" t="s">
        <v>216</v>
      </c>
      <c r="E9" s="112" t="s">
        <v>228</v>
      </c>
      <c r="F9" s="98"/>
      <c r="G9" s="16"/>
    </row>
    <row r="10" spans="1:7" ht="15" customHeight="1" x14ac:dyDescent="0.3">
      <c r="A10" s="107"/>
      <c r="B10" s="12" t="s">
        <v>105</v>
      </c>
      <c r="C10" s="130">
        <v>0.59530000000000005</v>
      </c>
      <c r="D10" s="109" t="s">
        <v>216</v>
      </c>
      <c r="E10" s="113"/>
    </row>
    <row r="11" spans="1:7" ht="15" customHeight="1" x14ac:dyDescent="0.3">
      <c r="A11" s="107"/>
      <c r="B11" s="9" t="s">
        <v>108</v>
      </c>
      <c r="C11" s="130">
        <v>0.3906</v>
      </c>
      <c r="D11" s="109" t="s">
        <v>216</v>
      </c>
      <c r="E11" s="113" t="s">
        <v>238</v>
      </c>
      <c r="F11" s="98"/>
    </row>
    <row r="12" spans="1:7" ht="15" customHeight="1" x14ac:dyDescent="0.3">
      <c r="A12" s="107"/>
      <c r="B12" s="9" t="s">
        <v>109</v>
      </c>
      <c r="C12" s="130">
        <v>0.16600000000000001</v>
      </c>
      <c r="D12" s="109" t="s">
        <v>216</v>
      </c>
      <c r="E12" s="113" t="s">
        <v>239</v>
      </c>
      <c r="F12" s="98"/>
    </row>
    <row r="13" spans="1:7" ht="15" customHeight="1" x14ac:dyDescent="0.3">
      <c r="A13" s="107"/>
      <c r="B13" s="9" t="s">
        <v>110</v>
      </c>
      <c r="C13" s="130">
        <v>0.33500000000000002</v>
      </c>
      <c r="D13" s="109" t="s">
        <v>216</v>
      </c>
      <c r="E13" s="113"/>
      <c r="F13" s="98"/>
    </row>
    <row r="14" spans="1:7" ht="15" customHeight="1" x14ac:dyDescent="0.25">
      <c r="B14" s="15"/>
    </row>
    <row r="15" spans="1:7" ht="15" customHeight="1" x14ac:dyDescent="0.3">
      <c r="A15" s="15" t="s">
        <v>30</v>
      </c>
      <c r="B15" s="21"/>
    </row>
    <row r="16" spans="1:7" ht="15" customHeight="1" x14ac:dyDescent="0.25">
      <c r="B16" s="12" t="s">
        <v>94</v>
      </c>
      <c r="C16" s="131">
        <v>0.59699999999999998</v>
      </c>
      <c r="D16" s="109" t="s">
        <v>249</v>
      </c>
      <c r="E16" s="113" t="s">
        <v>253</v>
      </c>
    </row>
    <row r="17" spans="1:8" ht="15" customHeight="1" x14ac:dyDescent="0.25">
      <c r="B17" s="12" t="s">
        <v>95</v>
      </c>
      <c r="C17" s="131"/>
      <c r="D17" s="146"/>
      <c r="E17" s="113"/>
    </row>
    <row r="18" spans="1:8" ht="15" customHeight="1" x14ac:dyDescent="0.25">
      <c r="B18" s="12" t="s">
        <v>96</v>
      </c>
      <c r="C18" s="131"/>
      <c r="D18" s="146"/>
      <c r="E18" s="113"/>
    </row>
    <row r="19" spans="1:8" ht="15" customHeight="1" x14ac:dyDescent="0.25">
      <c r="B19" s="12" t="s">
        <v>97</v>
      </c>
      <c r="C19" s="131"/>
      <c r="D19" s="146"/>
      <c r="E19" s="113"/>
    </row>
    <row r="20" spans="1:8" ht="15" customHeight="1" x14ac:dyDescent="0.25">
      <c r="B20" s="12" t="s">
        <v>98</v>
      </c>
      <c r="C20" s="106"/>
    </row>
    <row r="21" spans="1:8" ht="15" customHeight="1" x14ac:dyDescent="0.25">
      <c r="B21" s="15"/>
      <c r="C21" s="106"/>
    </row>
    <row r="22" spans="1:8" ht="15" customHeight="1" x14ac:dyDescent="0.25">
      <c r="A22" s="15" t="s">
        <v>99</v>
      </c>
      <c r="C22" s="106"/>
    </row>
    <row r="23" spans="1:8" ht="15" customHeight="1" x14ac:dyDescent="0.35">
      <c r="A23" s="107"/>
      <c r="B23" s="22" t="s">
        <v>101</v>
      </c>
      <c r="C23" s="130">
        <v>5.8700000000000002E-2</v>
      </c>
      <c r="D23" s="147" t="s">
        <v>216</v>
      </c>
      <c r="E23" s="114" t="s">
        <v>217</v>
      </c>
      <c r="F23" s="103"/>
      <c r="G23" s="99"/>
    </row>
    <row r="24" spans="1:8" ht="15" customHeight="1" x14ac:dyDescent="0.35">
      <c r="A24" s="107"/>
      <c r="B24" s="22" t="s">
        <v>102</v>
      </c>
      <c r="C24" s="130">
        <v>0.52400000000000002</v>
      </c>
      <c r="D24" s="147"/>
      <c r="E24" s="114" t="s">
        <v>217</v>
      </c>
      <c r="F24" s="103"/>
      <c r="G24" s="99"/>
    </row>
    <row r="25" spans="1:8" ht="15" customHeight="1" x14ac:dyDescent="0.35">
      <c r="A25" s="107"/>
      <c r="B25" s="22" t="s">
        <v>103</v>
      </c>
      <c r="C25" s="130">
        <v>0.4173</v>
      </c>
      <c r="D25" s="147"/>
      <c r="E25" s="114" t="s">
        <v>217</v>
      </c>
      <c r="F25" s="103"/>
      <c r="G25" s="99"/>
    </row>
    <row r="26" spans="1:8" ht="15" customHeight="1" x14ac:dyDescent="0.35">
      <c r="A26" s="107"/>
      <c r="B26" s="22" t="s">
        <v>104</v>
      </c>
      <c r="C26" s="130">
        <v>0</v>
      </c>
      <c r="D26" s="147"/>
      <c r="E26" s="114" t="s">
        <v>217</v>
      </c>
      <c r="F26" s="103"/>
      <c r="G26" s="99"/>
    </row>
    <row r="27" spans="1:8" ht="15" customHeight="1" x14ac:dyDescent="0.25">
      <c r="B27" s="22"/>
      <c r="C27" s="106"/>
    </row>
    <row r="28" spans="1:8" ht="15" customHeight="1" x14ac:dyDescent="0.25">
      <c r="A28" s="15" t="s">
        <v>197</v>
      </c>
      <c r="B28" s="22"/>
      <c r="C28" s="106"/>
      <c r="D28"/>
    </row>
    <row r="29" spans="1:8" ht="14.25" customHeight="1" x14ac:dyDescent="0.3">
      <c r="A29" s="107"/>
      <c r="B29" s="34" t="s">
        <v>75</v>
      </c>
      <c r="C29" s="133">
        <v>0.2208</v>
      </c>
      <c r="D29" s="147" t="s">
        <v>216</v>
      </c>
      <c r="E29" s="142"/>
      <c r="F29" s="98"/>
    </row>
    <row r="30" spans="1:8" ht="14.25" customHeight="1" x14ac:dyDescent="0.35">
      <c r="A30" s="107"/>
      <c r="B30" s="34" t="s">
        <v>76</v>
      </c>
      <c r="C30" s="133">
        <v>7.4300000000000005E-2</v>
      </c>
      <c r="D30" s="147"/>
      <c r="E30" s="143"/>
      <c r="F30" s="98"/>
      <c r="G30" s="99"/>
      <c r="H30" s="98"/>
    </row>
    <row r="31" spans="1:8" ht="14.25" customHeight="1" x14ac:dyDescent="0.35">
      <c r="A31" s="107"/>
      <c r="B31" s="34" t="s">
        <v>77</v>
      </c>
      <c r="C31" s="133">
        <v>0.16850000000000001</v>
      </c>
      <c r="D31" s="147"/>
      <c r="E31" s="143"/>
      <c r="F31" s="98"/>
      <c r="G31" s="99"/>
      <c r="H31" s="98"/>
    </row>
    <row r="32" spans="1:8" ht="14.25" customHeight="1" x14ac:dyDescent="0.3">
      <c r="A32" s="107"/>
      <c r="B32" s="34" t="s">
        <v>78</v>
      </c>
      <c r="C32" s="133">
        <v>0.53639999999999999</v>
      </c>
      <c r="D32" s="147"/>
      <c r="E32" s="144"/>
      <c r="F32" s="98"/>
    </row>
    <row r="33" spans="1:7" ht="13" x14ac:dyDescent="0.25">
      <c r="B33" s="36" t="s">
        <v>130</v>
      </c>
      <c r="C33" s="135"/>
    </row>
    <row r="34" spans="1:7" ht="15" customHeight="1" x14ac:dyDescent="0.25">
      <c r="C34" s="135"/>
    </row>
    <row r="35" spans="1:7" ht="15" customHeight="1" x14ac:dyDescent="0.3">
      <c r="A35" s="4" t="s">
        <v>136</v>
      </c>
      <c r="C35" s="135"/>
    </row>
    <row r="36" spans="1:7" ht="15" customHeight="1" x14ac:dyDescent="0.25">
      <c r="A36" s="15" t="s">
        <v>74</v>
      </c>
      <c r="B36" s="9"/>
      <c r="C36" s="135"/>
      <c r="D36"/>
    </row>
    <row r="37" spans="1:7" ht="15" customHeight="1" x14ac:dyDescent="0.3">
      <c r="A37" s="107"/>
      <c r="B37" s="49" t="s">
        <v>92</v>
      </c>
      <c r="C37" s="134">
        <v>41.404000000000003</v>
      </c>
      <c r="D37" s="147" t="s">
        <v>216</v>
      </c>
      <c r="E37" s="126"/>
      <c r="F37" s="100"/>
      <c r="G37" s="100"/>
    </row>
    <row r="38" spans="1:7" ht="15" customHeight="1" x14ac:dyDescent="0.3">
      <c r="A38" s="107"/>
      <c r="B38" s="19" t="s">
        <v>91</v>
      </c>
      <c r="C38" s="134">
        <v>81.261099999999999</v>
      </c>
      <c r="D38" s="147"/>
      <c r="E38" s="126"/>
      <c r="F38" s="100"/>
      <c r="G38" s="100"/>
    </row>
    <row r="39" spans="1:7" ht="15" customHeight="1" x14ac:dyDescent="0.3">
      <c r="A39" s="107"/>
      <c r="B39" s="19" t="s">
        <v>90</v>
      </c>
      <c r="C39" s="134">
        <v>134.7269</v>
      </c>
      <c r="D39" s="147"/>
      <c r="E39" s="126"/>
      <c r="F39" s="100"/>
      <c r="G39" s="120"/>
    </row>
    <row r="40" spans="1:7" ht="15" customHeight="1" x14ac:dyDescent="0.35">
      <c r="B40" s="19" t="s">
        <v>237</v>
      </c>
      <c r="C40" s="132">
        <v>846</v>
      </c>
      <c r="D40" s="147"/>
      <c r="E40" s="126" t="s">
        <v>245</v>
      </c>
      <c r="F40" s="98"/>
      <c r="G40" s="121"/>
    </row>
    <row r="41" spans="1:7" ht="26.65" customHeight="1" x14ac:dyDescent="0.25">
      <c r="B41" s="19" t="s">
        <v>89</v>
      </c>
      <c r="C41" s="131">
        <v>0.13</v>
      </c>
      <c r="D41" s="105" t="s">
        <v>205</v>
      </c>
      <c r="E41" s="125" t="s">
        <v>254</v>
      </c>
      <c r="F41" s="98"/>
      <c r="G41" s="122"/>
    </row>
    <row r="42" spans="1:7" ht="15" customHeight="1" x14ac:dyDescent="0.25">
      <c r="B42" s="49" t="s">
        <v>93</v>
      </c>
      <c r="C42" s="134">
        <v>27.27</v>
      </c>
      <c r="D42" s="110" t="s">
        <v>240</v>
      </c>
      <c r="E42" s="126" t="s">
        <v>255</v>
      </c>
      <c r="G42" s="123"/>
    </row>
    <row r="43" spans="1:7" ht="15.75" customHeight="1" x14ac:dyDescent="0.25">
      <c r="C43" s="135"/>
      <c r="D43" s="85"/>
      <c r="G43" s="124"/>
    </row>
    <row r="44" spans="1:7" ht="15.75" customHeight="1" x14ac:dyDescent="0.25">
      <c r="A44" s="15" t="s">
        <v>134</v>
      </c>
      <c r="C44" s="135"/>
      <c r="D44"/>
    </row>
    <row r="45" spans="1:7" ht="15.75" customHeight="1" x14ac:dyDescent="0.25">
      <c r="B45" s="19" t="s">
        <v>9</v>
      </c>
      <c r="C45" s="131">
        <v>1.9099999999999999E-2</v>
      </c>
      <c r="D45" s="148" t="s">
        <v>241</v>
      </c>
      <c r="E45" s="145" t="s">
        <v>256</v>
      </c>
    </row>
    <row r="46" spans="1:7" ht="15.75" customHeight="1" x14ac:dyDescent="0.25">
      <c r="B46" s="19" t="s">
        <v>11</v>
      </c>
      <c r="C46" s="131">
        <v>9.98E-2</v>
      </c>
      <c r="D46" s="148"/>
      <c r="E46" s="145"/>
    </row>
    <row r="47" spans="1:7" ht="15.75" customHeight="1" x14ac:dyDescent="0.25">
      <c r="B47" s="19" t="s">
        <v>12</v>
      </c>
      <c r="C47" s="131">
        <v>0.2</v>
      </c>
      <c r="D47" s="148"/>
      <c r="E47" s="145"/>
    </row>
    <row r="48" spans="1:7" ht="15" customHeight="1" x14ac:dyDescent="0.25">
      <c r="B48" s="19" t="s">
        <v>26</v>
      </c>
      <c r="C48" s="127"/>
      <c r="D48" s="85"/>
      <c r="E48" s="20"/>
    </row>
    <row r="49" spans="1:7" ht="15.75" customHeight="1" x14ac:dyDescent="0.25">
      <c r="D49" s="85"/>
    </row>
    <row r="50" spans="1:7" ht="15.75" customHeight="1" x14ac:dyDescent="0.25">
      <c r="A50" s="15" t="s">
        <v>72</v>
      </c>
      <c r="D50"/>
    </row>
    <row r="51" spans="1:7" ht="15.75" customHeight="1" x14ac:dyDescent="0.25">
      <c r="B51" s="19" t="s">
        <v>125</v>
      </c>
      <c r="C51" s="7">
        <v>3.3</v>
      </c>
      <c r="D51" s="148" t="s">
        <v>242</v>
      </c>
      <c r="E51" s="145" t="s">
        <v>257</v>
      </c>
    </row>
    <row r="52" spans="1:7" ht="15" customHeight="1" x14ac:dyDescent="0.25">
      <c r="B52" s="19" t="s">
        <v>126</v>
      </c>
      <c r="C52" s="7">
        <v>3.3</v>
      </c>
      <c r="D52" s="148"/>
      <c r="E52" s="145"/>
    </row>
    <row r="53" spans="1:7" ht="15.75" customHeight="1" x14ac:dyDescent="0.25">
      <c r="B53" s="19" t="s">
        <v>127</v>
      </c>
      <c r="C53" s="7">
        <v>3.3</v>
      </c>
      <c r="D53" s="148"/>
      <c r="E53" s="145"/>
    </row>
    <row r="54" spans="1:7" ht="15.75" customHeight="1" x14ac:dyDescent="0.25">
      <c r="B54" s="19" t="s">
        <v>128</v>
      </c>
      <c r="C54" s="7">
        <v>3.3</v>
      </c>
      <c r="D54" s="148"/>
      <c r="E54" s="145"/>
    </row>
    <row r="55" spans="1:7" ht="15.75" customHeight="1" x14ac:dyDescent="0.25">
      <c r="B55" s="19" t="s">
        <v>129</v>
      </c>
      <c r="C55" s="7">
        <v>3.3</v>
      </c>
      <c r="D55" s="148"/>
      <c r="E55" s="145"/>
    </row>
    <row r="57" spans="1:7" ht="15.75" customHeight="1" x14ac:dyDescent="0.25">
      <c r="A57" s="15" t="s">
        <v>135</v>
      </c>
      <c r="D57"/>
    </row>
    <row r="58" spans="1:7" ht="15.75" customHeight="1" x14ac:dyDescent="0.35">
      <c r="B58" s="9" t="s">
        <v>111</v>
      </c>
      <c r="C58" s="130">
        <v>0.30940000000000001</v>
      </c>
      <c r="D58" s="109" t="s">
        <v>216</v>
      </c>
      <c r="E58" s="129" t="s">
        <v>218</v>
      </c>
      <c r="F58" s="98"/>
      <c r="G58" s="99"/>
    </row>
    <row r="59" spans="1:7" ht="65.650000000000006" customHeight="1" x14ac:dyDescent="0.25">
      <c r="B59" s="19" t="s">
        <v>133</v>
      </c>
      <c r="C59" s="136">
        <v>0.43519999999999998</v>
      </c>
      <c r="D59" s="105" t="s">
        <v>243</v>
      </c>
      <c r="E59" s="128" t="s">
        <v>244</v>
      </c>
    </row>
    <row r="60" spans="1:7" ht="15.75" customHeight="1" x14ac:dyDescent="0.25">
      <c r="C60" s="106"/>
    </row>
    <row r="61" spans="1:7" ht="15.75" customHeight="1" x14ac:dyDescent="0.3">
      <c r="A61" s="101" t="s">
        <v>219</v>
      </c>
      <c r="C61" s="97"/>
      <c r="F61" s="98"/>
    </row>
    <row r="62" spans="1:7" ht="15.75" customHeight="1" x14ac:dyDescent="0.3">
      <c r="A62" s="107"/>
      <c r="B62" s="29" t="s">
        <v>220</v>
      </c>
      <c r="C62" s="130">
        <v>0.20699999999999999</v>
      </c>
      <c r="D62" s="109" t="s">
        <v>216</v>
      </c>
      <c r="E62" s="113"/>
      <c r="F62" s="98"/>
    </row>
    <row r="63" spans="1:7" ht="15.75" customHeight="1" x14ac:dyDescent="0.3">
      <c r="A63" s="107"/>
      <c r="B63" s="29" t="s">
        <v>221</v>
      </c>
      <c r="C63" s="130">
        <v>6.4000000000000001E-2</v>
      </c>
      <c r="D63" s="109" t="s">
        <v>216</v>
      </c>
      <c r="E63" s="113"/>
      <c r="F63" s="98"/>
    </row>
    <row r="64" spans="1:7" ht="15.75" customHeight="1" x14ac:dyDescent="0.3">
      <c r="A64" s="107"/>
      <c r="B64" s="102" t="s">
        <v>222</v>
      </c>
      <c r="C64" s="130">
        <v>0</v>
      </c>
      <c r="D64" s="109" t="s">
        <v>216</v>
      </c>
      <c r="E64" s="113"/>
      <c r="F64" s="98"/>
    </row>
    <row r="65" spans="1:6" ht="15.75" customHeight="1" x14ac:dyDescent="0.3">
      <c r="A65" s="107"/>
      <c r="B65" s="102" t="s">
        <v>223</v>
      </c>
      <c r="C65" s="130">
        <v>3.9899999999999998E-2</v>
      </c>
      <c r="D65" s="109" t="s">
        <v>216</v>
      </c>
      <c r="E65" s="113"/>
      <c r="F65" s="98"/>
    </row>
    <row r="66" spans="1:6" ht="15.75" customHeight="1" x14ac:dyDescent="0.3">
      <c r="A66" s="107"/>
      <c r="B66" s="102" t="s">
        <v>224</v>
      </c>
      <c r="C66" s="130">
        <v>0.40339999999999998</v>
      </c>
      <c r="D66" s="109" t="s">
        <v>216</v>
      </c>
      <c r="E66" s="113"/>
      <c r="F66" s="98"/>
    </row>
    <row r="67" spans="1:6" ht="15.75" customHeight="1" x14ac:dyDescent="0.3">
      <c r="A67" s="107"/>
      <c r="B67" s="102" t="s">
        <v>225</v>
      </c>
      <c r="C67" s="130">
        <v>0.36049999999999999</v>
      </c>
      <c r="D67" s="109" t="s">
        <v>216</v>
      </c>
      <c r="E67" s="113"/>
      <c r="F67" s="98"/>
    </row>
    <row r="68" spans="1:6" ht="15.75" customHeight="1" x14ac:dyDescent="0.3">
      <c r="A68" s="107"/>
      <c r="B68" s="102" t="s">
        <v>226</v>
      </c>
      <c r="C68" s="130">
        <v>0.15179999999999999</v>
      </c>
      <c r="D68" s="109" t="s">
        <v>216</v>
      </c>
      <c r="E68" s="113"/>
      <c r="F68" s="98"/>
    </row>
    <row r="69" spans="1:6" ht="15.75" customHeight="1" x14ac:dyDescent="0.25">
      <c r="B69" s="102"/>
      <c r="C69" s="97"/>
      <c r="F69" s="98"/>
    </row>
    <row r="70" spans="1:6" ht="15.75" customHeight="1" x14ac:dyDescent="0.3">
      <c r="A70" s="107"/>
      <c r="B70" s="19" t="s">
        <v>229</v>
      </c>
      <c r="C70" s="130">
        <v>0.20699999999999999</v>
      </c>
      <c r="D70" s="109" t="s">
        <v>216</v>
      </c>
      <c r="E70" s="113"/>
      <c r="F70" s="98"/>
    </row>
    <row r="71" spans="1:6" ht="15.75" customHeight="1" x14ac:dyDescent="0.25">
      <c r="C71" s="106"/>
    </row>
    <row r="72" spans="1:6" ht="15.75" customHeight="1" x14ac:dyDescent="0.25">
      <c r="B72" s="19" t="s">
        <v>250</v>
      </c>
      <c r="C72" s="130">
        <v>0.77859999999999996</v>
      </c>
      <c r="D72" s="109" t="s">
        <v>252</v>
      </c>
      <c r="E72" s="113" t="s">
        <v>251</v>
      </c>
    </row>
  </sheetData>
  <mergeCells count="9">
    <mergeCell ref="E29:E32"/>
    <mergeCell ref="E45:E47"/>
    <mergeCell ref="E51:E55"/>
    <mergeCell ref="D17:D19"/>
    <mergeCell ref="D23:D26"/>
    <mergeCell ref="D29:D32"/>
    <mergeCell ref="D37:D40"/>
    <mergeCell ref="D45:D47"/>
    <mergeCell ref="D51:D55"/>
  </mergeCell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F9"/>
  <sheetViews>
    <sheetView zoomScale="60" zoomScaleNormal="60" workbookViewId="0">
      <selection activeCell="F20" sqref="F20"/>
    </sheetView>
  </sheetViews>
  <sheetFormatPr defaultColWidth="10.81640625" defaultRowHeight="15.5" x14ac:dyDescent="0.35"/>
  <cols>
    <col min="1" max="1" width="18.54296875" style="63" customWidth="1"/>
    <col min="2" max="5" width="10.81640625" style="63"/>
    <col min="6" max="6" width="17.7265625" style="63" customWidth="1"/>
    <col min="7" max="16384" width="10.81640625" style="63"/>
  </cols>
  <sheetData>
    <row r="1" spans="1:6" ht="52.5" x14ac:dyDescent="0.35">
      <c r="A1" s="68" t="s">
        <v>195</v>
      </c>
      <c r="B1" s="67" t="s">
        <v>176</v>
      </c>
      <c r="C1" s="67" t="s">
        <v>175</v>
      </c>
      <c r="D1" s="67" t="s">
        <v>174</v>
      </c>
      <c r="E1" s="67" t="s">
        <v>173</v>
      </c>
      <c r="F1" s="91" t="s">
        <v>209</v>
      </c>
    </row>
    <row r="2" spans="1:6" x14ac:dyDescent="0.35">
      <c r="A2" s="66" t="s">
        <v>165</v>
      </c>
      <c r="B2" s="65" t="s">
        <v>32</v>
      </c>
      <c r="C2" s="59">
        <f>1.5*0.61</f>
        <v>0.91500000000000004</v>
      </c>
      <c r="D2" s="59">
        <f>0.5*0.61</f>
        <v>0.30499999999999999</v>
      </c>
      <c r="E2" s="59">
        <v>0.05</v>
      </c>
      <c r="F2" s="156" t="s">
        <v>210</v>
      </c>
    </row>
    <row r="3" spans="1:6" x14ac:dyDescent="0.35">
      <c r="A3" s="65"/>
      <c r="B3" s="65" t="s">
        <v>1</v>
      </c>
      <c r="C3" s="59">
        <f>1.5*0.61</f>
        <v>0.91500000000000004</v>
      </c>
      <c r="D3" s="59">
        <f>0.5*0.61</f>
        <v>0.30499999999999999</v>
      </c>
      <c r="E3" s="59">
        <v>0.05</v>
      </c>
      <c r="F3" s="156"/>
    </row>
    <row r="4" spans="1:6" x14ac:dyDescent="0.35">
      <c r="A4" s="65"/>
      <c r="B4" s="65" t="s">
        <v>2</v>
      </c>
      <c r="C4" s="59">
        <f>1.5*0.61</f>
        <v>0.91500000000000004</v>
      </c>
      <c r="D4" s="59">
        <f>0.5*0.61</f>
        <v>0.30499999999999999</v>
      </c>
      <c r="E4" s="59">
        <v>0.05</v>
      </c>
      <c r="F4" s="156"/>
    </row>
    <row r="5" spans="1:6" x14ac:dyDescent="0.35">
      <c r="A5" s="65"/>
      <c r="B5" s="65" t="s">
        <v>3</v>
      </c>
      <c r="C5" s="59">
        <f>1.5*0.61</f>
        <v>0.91500000000000004</v>
      </c>
      <c r="D5" s="59">
        <f>0.5*0.61</f>
        <v>0.30499999999999999</v>
      </c>
      <c r="E5" s="59">
        <v>0.05</v>
      </c>
      <c r="F5" s="156"/>
    </row>
    <row r="6" spans="1:6" x14ac:dyDescent="0.35">
      <c r="A6" s="65"/>
      <c r="B6" s="65" t="s">
        <v>4</v>
      </c>
      <c r="C6" s="59">
        <f>1.5*0.61</f>
        <v>0.91500000000000004</v>
      </c>
      <c r="D6" s="59">
        <f>0.5*0.61</f>
        <v>0.30499999999999999</v>
      </c>
      <c r="E6" s="59">
        <v>0.05</v>
      </c>
      <c r="F6" s="156"/>
    </row>
    <row r="9" spans="1:6" x14ac:dyDescent="0.35">
      <c r="C9" s="64"/>
    </row>
  </sheetData>
  <mergeCells count="1">
    <mergeCell ref="F2:F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18"/>
  <sheetViews>
    <sheetView zoomScale="60" zoomScaleNormal="60" workbookViewId="0">
      <selection activeCell="F32" sqref="F32"/>
    </sheetView>
  </sheetViews>
  <sheetFormatPr defaultColWidth="11.36328125" defaultRowHeight="12.5" x14ac:dyDescent="0.25"/>
  <cols>
    <col min="1" max="1" width="53" style="57" bestFit="1" customWidth="1"/>
    <col min="2" max="2" width="47.81640625" style="42" customWidth="1"/>
    <col min="3" max="3" width="42.36328125" style="42" customWidth="1"/>
    <col min="4" max="16384" width="11.36328125" style="42"/>
  </cols>
  <sheetData>
    <row r="1" spans="1:3" ht="13" x14ac:dyDescent="0.3">
      <c r="A1" s="47" t="s">
        <v>69</v>
      </c>
      <c r="B1" s="47" t="s">
        <v>179</v>
      </c>
      <c r="C1" s="47" t="s">
        <v>178</v>
      </c>
    </row>
    <row r="2" spans="1:3" x14ac:dyDescent="0.25">
      <c r="A2" s="14" t="s">
        <v>186</v>
      </c>
      <c r="B2" s="53" t="s">
        <v>59</v>
      </c>
      <c r="C2" s="53"/>
    </row>
    <row r="3" spans="1:3" x14ac:dyDescent="0.25">
      <c r="A3" s="14" t="s">
        <v>191</v>
      </c>
      <c r="B3" s="53" t="s">
        <v>59</v>
      </c>
      <c r="C3" s="53"/>
    </row>
    <row r="4" spans="1:3" x14ac:dyDescent="0.25">
      <c r="A4" s="57" t="s">
        <v>58</v>
      </c>
      <c r="B4" s="53" t="s">
        <v>137</v>
      </c>
      <c r="C4" s="53"/>
    </row>
    <row r="5" spans="1:3" x14ac:dyDescent="0.25">
      <c r="A5" s="57" t="s">
        <v>138</v>
      </c>
      <c r="B5" s="53" t="s">
        <v>137</v>
      </c>
      <c r="C5" s="53"/>
    </row>
    <row r="11" spans="1:3" x14ac:dyDescent="0.25">
      <c r="A11" s="38"/>
    </row>
    <row r="12" spans="1:3" x14ac:dyDescent="0.25">
      <c r="A12" s="38"/>
    </row>
    <row r="13" spans="1:3" x14ac:dyDescent="0.25">
      <c r="A13" s="38"/>
    </row>
    <row r="14" spans="1:3" x14ac:dyDescent="0.25">
      <c r="A14" s="38"/>
    </row>
    <row r="15" spans="1:3" x14ac:dyDescent="0.25">
      <c r="A15" s="38"/>
    </row>
    <row r="16" spans="1:3" x14ac:dyDescent="0.25">
      <c r="A16" s="38"/>
    </row>
    <row r="17" spans="1:1" x14ac:dyDescent="0.25">
      <c r="A17" s="38"/>
    </row>
    <row r="18" spans="1:1" x14ac:dyDescent="0.25">
      <c r="A18" s="38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36328125" defaultRowHeight="12.5" x14ac:dyDescent="0.25"/>
  <cols>
    <col min="1" max="1" width="30.08984375" style="42" customWidth="1"/>
    <col min="2" max="16384" width="11.36328125" style="42"/>
  </cols>
  <sheetData>
    <row r="1" spans="1:1" ht="13" x14ac:dyDescent="0.3">
      <c r="A1" s="47" t="s">
        <v>69</v>
      </c>
    </row>
    <row r="2" spans="1:1" x14ac:dyDescent="0.25">
      <c r="A2" s="53" t="s">
        <v>198</v>
      </c>
    </row>
    <row r="3" spans="1:1" x14ac:dyDescent="0.25">
      <c r="A3" s="53" t="s">
        <v>57</v>
      </c>
    </row>
    <row r="4" spans="1:1" x14ac:dyDescent="0.25">
      <c r="A4" s="53" t="s">
        <v>34</v>
      </c>
    </row>
    <row r="5" spans="1:1" x14ac:dyDescent="0.25">
      <c r="A5" s="53" t="s">
        <v>83</v>
      </c>
    </row>
    <row r="6" spans="1:1" x14ac:dyDescent="0.25">
      <c r="A6" s="53" t="s">
        <v>82</v>
      </c>
    </row>
    <row r="7" spans="1:1" x14ac:dyDescent="0.25">
      <c r="A7" s="53" t="s">
        <v>81</v>
      </c>
    </row>
    <row r="8" spans="1:1" x14ac:dyDescent="0.25">
      <c r="A8" s="53" t="s">
        <v>79</v>
      </c>
    </row>
    <row r="9" spans="1:1" x14ac:dyDescent="0.25">
      <c r="A9" s="53" t="s">
        <v>80</v>
      </c>
    </row>
    <row r="10" spans="1:1" x14ac:dyDescent="0.25">
      <c r="A10" s="53"/>
    </row>
    <row r="11" spans="1:1" x14ac:dyDescent="0.25">
      <c r="A11" s="53"/>
    </row>
    <row r="12" spans="1:1" x14ac:dyDescent="0.25">
      <c r="A12" s="53"/>
    </row>
    <row r="13" spans="1:1" x14ac:dyDescent="0.25">
      <c r="A13" s="53"/>
    </row>
    <row r="14" spans="1:1" x14ac:dyDescent="0.25">
      <c r="A14" s="53"/>
    </row>
    <row r="15" spans="1:1" x14ac:dyDescent="0.25">
      <c r="A15" s="53"/>
    </row>
    <row r="16" spans="1:1" x14ac:dyDescent="0.25">
      <c r="A16" s="53"/>
    </row>
    <row r="17" spans="1:1" x14ac:dyDescent="0.25">
      <c r="A17" s="53"/>
    </row>
    <row r="18" spans="1:1" x14ac:dyDescent="0.25">
      <c r="A18" s="53"/>
    </row>
    <row r="19" spans="1:1" x14ac:dyDescent="0.25">
      <c r="A19" s="5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zoomScale="60" zoomScaleNormal="60" workbookViewId="0">
      <selection activeCell="I37" sqref="I37"/>
    </sheetView>
  </sheetViews>
  <sheetFormatPr defaultColWidth="14.363281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30">
        <f>'Baseline year population inputs'!C51</f>
        <v>3.3</v>
      </c>
      <c r="C2" s="30">
        <f>'Baseline year population inputs'!C52</f>
        <v>3.3</v>
      </c>
      <c r="D2" s="30">
        <f>'Baseline year population inputs'!C53</f>
        <v>3.3</v>
      </c>
      <c r="E2" s="30">
        <f>'Baseline year population inputs'!C54</f>
        <v>3.3</v>
      </c>
      <c r="F2" s="30">
        <f>'Baseline year population inputs'!C55</f>
        <v>3.3</v>
      </c>
    </row>
    <row r="3" spans="1:6" ht="15.75" customHeight="1" x14ac:dyDescent="0.25">
      <c r="A3" s="3" t="s">
        <v>65</v>
      </c>
      <c r="B3" s="30">
        <f>frac_mam_1month * 2.6</f>
        <v>1.3750099999999999E-2</v>
      </c>
      <c r="C3" s="30">
        <f>frac_mam_1_5months * 2.6</f>
        <v>1.3750099999999999E-2</v>
      </c>
      <c r="D3" s="30">
        <f>frac_mam_6_11months * 2.6</f>
        <v>0.20492498000000003</v>
      </c>
      <c r="E3" s="30">
        <f>frac_mam_12_23months * 2.6</f>
        <v>4.5386900000000001E-2</v>
      </c>
      <c r="F3" s="30">
        <f>frac_mam_24_59months * 2.6</f>
        <v>0.12388012000000001</v>
      </c>
    </row>
    <row r="4" spans="1:6" ht="15.75" customHeight="1" x14ac:dyDescent="0.25">
      <c r="A4" s="3" t="s">
        <v>66</v>
      </c>
      <c r="B4" s="30">
        <f>frac_sam_1month * 2.6</f>
        <v>0.15851654000000001</v>
      </c>
      <c r="C4" s="30">
        <f>frac_sam_1_5months * 2.6</f>
        <v>0.15851654000000001</v>
      </c>
      <c r="D4" s="30">
        <f>frac_sam_6_11months * 2.6</f>
        <v>0</v>
      </c>
      <c r="E4" s="30">
        <f>frac_sam_12_23months * 2.6</f>
        <v>0</v>
      </c>
      <c r="F4" s="30">
        <f>frac_sam_24_59months * 2.6</f>
        <v>6.613542E-2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39"/>
  <sheetViews>
    <sheetView zoomScale="60" zoomScaleNormal="60" workbookViewId="0">
      <selection activeCell="C1" sqref="C1"/>
    </sheetView>
  </sheetViews>
  <sheetFormatPr defaultColWidth="14.36328125" defaultRowHeight="15.75" customHeight="1" x14ac:dyDescent="0.25"/>
  <cols>
    <col min="1" max="1" width="20" bestFit="1" customWidth="1"/>
    <col min="2" max="2" width="45.81640625" customWidth="1"/>
    <col min="3" max="3" width="8.36328125" bestFit="1" customWidth="1"/>
    <col min="4" max="4" width="10" bestFit="1" customWidth="1"/>
    <col min="5" max="5" width="10.81640625" bestFit="1" customWidth="1"/>
    <col min="6" max="7" width="11.81640625" bestFit="1" customWidth="1"/>
    <col min="8" max="11" width="13.81640625" bestFit="1" customWidth="1"/>
    <col min="12" max="15" width="15.08984375" bestFit="1" customWidth="1"/>
  </cols>
  <sheetData>
    <row r="1" spans="1:15" ht="15.75" customHeight="1" x14ac:dyDescent="0.3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3">
      <c r="A2" s="4" t="s">
        <v>31</v>
      </c>
      <c r="B2" s="14" t="s">
        <v>61</v>
      </c>
      <c r="C2" s="40">
        <v>0</v>
      </c>
      <c r="D2" s="40">
        <f>food_insecure</f>
        <v>0.57999999999999996</v>
      </c>
      <c r="E2" s="40">
        <f>food_insecure</f>
        <v>0.57999999999999996</v>
      </c>
      <c r="F2" s="40">
        <f>food_insecure</f>
        <v>0.57999999999999996</v>
      </c>
      <c r="G2" s="40">
        <f>food_insecure</f>
        <v>0.57999999999999996</v>
      </c>
      <c r="H2" s="41">
        <v>0</v>
      </c>
      <c r="I2" s="41">
        <v>0</v>
      </c>
      <c r="J2" s="41">
        <v>0</v>
      </c>
      <c r="K2" s="41">
        <v>0</v>
      </c>
      <c r="L2" s="41">
        <v>0</v>
      </c>
      <c r="M2" s="41">
        <v>0</v>
      </c>
      <c r="N2" s="41">
        <v>0</v>
      </c>
      <c r="O2" s="41">
        <v>0</v>
      </c>
    </row>
    <row r="3" spans="1:15" ht="15.75" customHeight="1" x14ac:dyDescent="0.25">
      <c r="B3" s="9" t="s">
        <v>150</v>
      </c>
      <c r="C3" s="40">
        <v>1</v>
      </c>
      <c r="D3" s="40">
        <v>0</v>
      </c>
      <c r="E3" s="40">
        <v>0</v>
      </c>
      <c r="F3" s="40">
        <v>0</v>
      </c>
      <c r="G3" s="40">
        <v>0</v>
      </c>
      <c r="H3" s="41">
        <v>0</v>
      </c>
      <c r="I3" s="41">
        <v>0</v>
      </c>
      <c r="J3" s="41">
        <v>0</v>
      </c>
      <c r="K3" s="41">
        <v>0</v>
      </c>
      <c r="L3" s="41">
        <v>0</v>
      </c>
      <c r="M3" s="41">
        <v>0</v>
      </c>
      <c r="N3" s="41">
        <v>0</v>
      </c>
      <c r="O3" s="41">
        <v>0</v>
      </c>
    </row>
    <row r="4" spans="1:15" ht="15.75" customHeight="1" x14ac:dyDescent="0.25">
      <c r="B4" s="9" t="s">
        <v>196</v>
      </c>
      <c r="C4" s="40">
        <v>1</v>
      </c>
      <c r="D4" s="40">
        <v>0</v>
      </c>
      <c r="E4" s="40">
        <v>0</v>
      </c>
      <c r="F4" s="40">
        <v>0</v>
      </c>
      <c r="G4" s="40">
        <v>0</v>
      </c>
      <c r="H4" s="41">
        <v>0</v>
      </c>
      <c r="I4" s="41">
        <v>0</v>
      </c>
      <c r="J4" s="41">
        <v>0</v>
      </c>
      <c r="K4" s="41">
        <v>0</v>
      </c>
      <c r="L4" s="41">
        <v>0</v>
      </c>
      <c r="M4" s="41">
        <v>0</v>
      </c>
      <c r="N4" s="41">
        <v>0</v>
      </c>
      <c r="O4" s="41">
        <v>0</v>
      </c>
    </row>
    <row r="5" spans="1:15" ht="15.75" customHeight="1" x14ac:dyDescent="0.25">
      <c r="B5" s="14" t="s">
        <v>137</v>
      </c>
      <c r="C5" s="40">
        <v>0</v>
      </c>
      <c r="D5" s="40">
        <v>0</v>
      </c>
      <c r="E5" s="40">
        <f>food_insecure</f>
        <v>0.57999999999999996</v>
      </c>
      <c r="F5" s="40">
        <f>food_insecure</f>
        <v>0.57999999999999996</v>
      </c>
      <c r="G5" s="40">
        <v>0</v>
      </c>
      <c r="H5" s="41">
        <v>0</v>
      </c>
      <c r="I5" s="41">
        <v>0</v>
      </c>
      <c r="J5" s="41">
        <v>0</v>
      </c>
      <c r="K5" s="41">
        <v>0</v>
      </c>
      <c r="L5" s="41">
        <v>0</v>
      </c>
      <c r="M5" s="41">
        <v>0</v>
      </c>
      <c r="N5" s="41">
        <v>0</v>
      </c>
      <c r="O5" s="41">
        <v>0</v>
      </c>
    </row>
    <row r="6" spans="1:15" ht="15.75" customHeight="1" x14ac:dyDescent="0.25">
      <c r="B6" s="14" t="s">
        <v>138</v>
      </c>
      <c r="C6" s="40">
        <v>0</v>
      </c>
      <c r="D6" s="40">
        <v>0</v>
      </c>
      <c r="E6" s="40">
        <f>1</f>
        <v>1</v>
      </c>
      <c r="F6" s="40">
        <f>1</f>
        <v>1</v>
      </c>
      <c r="G6" s="40">
        <f>1</f>
        <v>1</v>
      </c>
      <c r="H6" s="41">
        <v>0</v>
      </c>
      <c r="I6" s="41">
        <v>0</v>
      </c>
      <c r="J6" s="41">
        <v>0</v>
      </c>
      <c r="K6" s="41">
        <v>0</v>
      </c>
      <c r="L6" s="41">
        <v>0</v>
      </c>
      <c r="M6" s="41">
        <v>0</v>
      </c>
      <c r="N6" s="41">
        <v>0</v>
      </c>
      <c r="O6" s="41">
        <v>0</v>
      </c>
    </row>
    <row r="7" spans="1:15" ht="15.75" customHeight="1" x14ac:dyDescent="0.25">
      <c r="B7" s="38" t="s">
        <v>84</v>
      </c>
      <c r="C7" s="40">
        <f>diarrhoea_1mo/26</f>
        <v>0.12692307692307692</v>
      </c>
      <c r="D7" s="40">
        <f>diarrhoea_1_5mo/26</f>
        <v>0.12692307692307692</v>
      </c>
      <c r="E7" s="40">
        <f>diarrhoea_6_11mo/26</f>
        <v>0.12692307692307692</v>
      </c>
      <c r="F7" s="40">
        <f>diarrhoea_12_23mo/26</f>
        <v>0.12692307692307692</v>
      </c>
      <c r="G7" s="40">
        <f>diarrhoea_24_59mo/26</f>
        <v>0.12692307692307692</v>
      </c>
      <c r="H7" s="41">
        <v>0</v>
      </c>
      <c r="I7" s="41">
        <v>0</v>
      </c>
      <c r="J7" s="41">
        <v>0</v>
      </c>
      <c r="K7" s="41">
        <v>0</v>
      </c>
      <c r="L7" s="41">
        <v>0</v>
      </c>
      <c r="M7" s="41">
        <v>0</v>
      </c>
      <c r="N7" s="41">
        <v>0</v>
      </c>
      <c r="O7" s="41">
        <v>0</v>
      </c>
    </row>
    <row r="8" spans="1:15" ht="15.75" customHeight="1" x14ac:dyDescent="0.25">
      <c r="B8" s="14" t="s">
        <v>58</v>
      </c>
      <c r="C8" s="40">
        <v>0</v>
      </c>
      <c r="D8" s="40">
        <v>0</v>
      </c>
      <c r="E8" s="40">
        <f>food_insecure</f>
        <v>0.57999999999999996</v>
      </c>
      <c r="F8" s="40">
        <f>food_insecure</f>
        <v>0.57999999999999996</v>
      </c>
      <c r="G8" s="40">
        <v>0</v>
      </c>
      <c r="H8" s="41">
        <v>0</v>
      </c>
      <c r="I8" s="41">
        <v>0</v>
      </c>
      <c r="J8" s="41">
        <v>0</v>
      </c>
      <c r="K8" s="41">
        <v>0</v>
      </c>
      <c r="L8" s="41">
        <v>0</v>
      </c>
      <c r="M8" s="41">
        <v>0</v>
      </c>
      <c r="N8" s="41">
        <v>0</v>
      </c>
      <c r="O8" s="41">
        <v>0</v>
      </c>
    </row>
    <row r="9" spans="1:15" ht="15.75" customHeight="1" x14ac:dyDescent="0.25">
      <c r="B9" s="14" t="s">
        <v>67</v>
      </c>
      <c r="C9" s="40">
        <v>0</v>
      </c>
      <c r="D9" s="40">
        <f>IF(ISBLANK(comm_deliv), frac_children_health_facility,1)</f>
        <v>0.16600000000000001</v>
      </c>
      <c r="E9" s="40">
        <f>IF(ISBLANK(comm_deliv), frac_children_health_facility,1)</f>
        <v>0.16600000000000001</v>
      </c>
      <c r="F9" s="40">
        <f>IF(ISBLANK(comm_deliv), frac_children_health_facility,1)</f>
        <v>0.16600000000000001</v>
      </c>
      <c r="G9" s="40">
        <f>IF(ISBLANK(comm_deliv), frac_children_health_facility,1)</f>
        <v>0.16600000000000001</v>
      </c>
      <c r="H9" s="41">
        <v>0</v>
      </c>
      <c r="I9" s="41">
        <v>0</v>
      </c>
      <c r="J9" s="41">
        <v>0</v>
      </c>
      <c r="K9" s="41">
        <v>0</v>
      </c>
      <c r="L9" s="41">
        <v>0</v>
      </c>
      <c r="M9" s="41">
        <v>0</v>
      </c>
      <c r="N9" s="41">
        <v>0</v>
      </c>
      <c r="O9" s="41">
        <v>0</v>
      </c>
    </row>
    <row r="10" spans="1:15" ht="15" customHeight="1" x14ac:dyDescent="0.25">
      <c r="B10" s="14" t="s">
        <v>28</v>
      </c>
      <c r="C10" s="40">
        <v>0</v>
      </c>
      <c r="D10" s="40">
        <v>0</v>
      </c>
      <c r="E10" s="40">
        <v>1</v>
      </c>
      <c r="F10" s="40">
        <v>1</v>
      </c>
      <c r="G10" s="40">
        <v>1</v>
      </c>
      <c r="H10" s="41">
        <v>0</v>
      </c>
      <c r="I10" s="41">
        <v>0</v>
      </c>
      <c r="J10" s="41">
        <v>0</v>
      </c>
      <c r="K10" s="41">
        <v>0</v>
      </c>
      <c r="L10" s="41">
        <v>0</v>
      </c>
      <c r="M10" s="41">
        <v>0</v>
      </c>
      <c r="N10" s="41">
        <v>0</v>
      </c>
      <c r="O10" s="41">
        <v>0</v>
      </c>
    </row>
    <row r="11" spans="1:15" ht="15.75" customHeight="1" x14ac:dyDescent="0.25">
      <c r="B11" s="38" t="s">
        <v>85</v>
      </c>
      <c r="C11" s="40">
        <f>diarrhoea_1mo/26</f>
        <v>0.12692307692307692</v>
      </c>
      <c r="D11" s="40">
        <f>diarrhoea_1_5mo/26</f>
        <v>0.12692307692307692</v>
      </c>
      <c r="E11" s="40">
        <f>diarrhoea_6_11mo/26</f>
        <v>0.12692307692307692</v>
      </c>
      <c r="F11" s="40">
        <f>diarrhoea_12_23mo/26</f>
        <v>0.12692307692307692</v>
      </c>
      <c r="G11" s="40">
        <f>diarrhoea_24_59mo/26</f>
        <v>0.12692307692307692</v>
      </c>
      <c r="H11" s="41">
        <v>0</v>
      </c>
      <c r="I11" s="41">
        <v>0</v>
      </c>
      <c r="J11" s="41">
        <v>0</v>
      </c>
      <c r="K11" s="41">
        <v>0</v>
      </c>
      <c r="L11" s="41">
        <v>0</v>
      </c>
      <c r="M11" s="41">
        <v>0</v>
      </c>
      <c r="N11" s="41">
        <v>0</v>
      </c>
      <c r="O11" s="41">
        <v>0</v>
      </c>
    </row>
    <row r="12" spans="1:15" ht="15.75" customHeight="1" x14ac:dyDescent="0.25">
      <c r="B12" s="14" t="s">
        <v>60</v>
      </c>
      <c r="C12" s="40">
        <v>0</v>
      </c>
      <c r="D12" s="40">
        <v>0</v>
      </c>
      <c r="E12" s="40">
        <v>1</v>
      </c>
      <c r="F12" s="40">
        <v>1</v>
      </c>
      <c r="G12" s="40">
        <v>1</v>
      </c>
      <c r="H12" s="41">
        <v>0</v>
      </c>
      <c r="I12" s="41">
        <v>0</v>
      </c>
      <c r="J12" s="41">
        <v>0</v>
      </c>
      <c r="K12" s="41">
        <v>0</v>
      </c>
      <c r="L12" s="41">
        <v>0</v>
      </c>
      <c r="M12" s="41">
        <v>0</v>
      </c>
      <c r="N12" s="41">
        <v>0</v>
      </c>
      <c r="O12" s="41">
        <v>0</v>
      </c>
    </row>
    <row r="13" spans="1:15" ht="15.75" customHeight="1" x14ac:dyDescent="0.25">
      <c r="B13" s="38"/>
    </row>
    <row r="14" spans="1:15" ht="15.75" customHeight="1" x14ac:dyDescent="0.3">
      <c r="A14" s="4" t="s">
        <v>32</v>
      </c>
      <c r="B14" s="38" t="s">
        <v>29</v>
      </c>
      <c r="C14" s="41">
        <v>0</v>
      </c>
      <c r="D14" s="41">
        <v>0</v>
      </c>
      <c r="E14" s="41">
        <v>0</v>
      </c>
      <c r="F14" s="41">
        <v>0</v>
      </c>
      <c r="G14" s="41">
        <v>0</v>
      </c>
      <c r="H14" s="40">
        <f>food_insecure</f>
        <v>0.57999999999999996</v>
      </c>
      <c r="I14" s="40">
        <f>food_insecure</f>
        <v>0.57999999999999996</v>
      </c>
      <c r="J14" s="40">
        <f>food_insecure</f>
        <v>0.57999999999999996</v>
      </c>
      <c r="K14" s="40">
        <f>food_insecure</f>
        <v>0.57999999999999996</v>
      </c>
      <c r="L14" s="41">
        <v>0</v>
      </c>
      <c r="M14" s="41">
        <v>0</v>
      </c>
      <c r="N14" s="41">
        <v>0</v>
      </c>
      <c r="O14" s="41">
        <v>0</v>
      </c>
    </row>
    <row r="15" spans="1:15" ht="15.75" customHeight="1" x14ac:dyDescent="0.3">
      <c r="A15" s="4"/>
      <c r="B15" s="14" t="s">
        <v>86</v>
      </c>
      <c r="C15" s="41">
        <v>0</v>
      </c>
      <c r="D15" s="41">
        <v>0</v>
      </c>
      <c r="E15" s="41">
        <v>0</v>
      </c>
      <c r="F15" s="41">
        <v>0</v>
      </c>
      <c r="G15" s="41">
        <v>0</v>
      </c>
      <c r="H15" s="40">
        <v>1</v>
      </c>
      <c r="I15" s="40">
        <v>1</v>
      </c>
      <c r="J15" s="40">
        <v>1</v>
      </c>
      <c r="K15" s="40">
        <v>1</v>
      </c>
      <c r="L15" s="41">
        <v>0</v>
      </c>
      <c r="M15" s="41">
        <v>0</v>
      </c>
      <c r="N15" s="41">
        <v>0</v>
      </c>
      <c r="O15" s="41">
        <v>0</v>
      </c>
    </row>
    <row r="16" spans="1:15" ht="15.75" customHeight="1" x14ac:dyDescent="0.3">
      <c r="A16" s="4"/>
      <c r="B16" s="14" t="s">
        <v>186</v>
      </c>
      <c r="C16" s="41">
        <v>0</v>
      </c>
      <c r="D16" s="41">
        <v>0</v>
      </c>
      <c r="E16" s="41">
        <v>0</v>
      </c>
      <c r="F16" s="41">
        <v>0</v>
      </c>
      <c r="G16" s="41">
        <v>0</v>
      </c>
      <c r="H16" s="40">
        <f xml:space="preserve"> 1</f>
        <v>1</v>
      </c>
      <c r="I16" s="40">
        <f xml:space="preserve"> 1</f>
        <v>1</v>
      </c>
      <c r="J16" s="40">
        <f xml:space="preserve"> 1</f>
        <v>1</v>
      </c>
      <c r="K16" s="40">
        <f xml:space="preserve"> 1</f>
        <v>1</v>
      </c>
      <c r="L16" s="41">
        <v>0</v>
      </c>
      <c r="M16" s="41">
        <v>0</v>
      </c>
      <c r="N16" s="41">
        <v>0</v>
      </c>
      <c r="O16" s="41">
        <v>0</v>
      </c>
    </row>
    <row r="17" spans="1:15" ht="15.75" customHeight="1" x14ac:dyDescent="0.3">
      <c r="A17" s="4"/>
      <c r="B17" s="14" t="s">
        <v>191</v>
      </c>
      <c r="C17" s="41">
        <v>0</v>
      </c>
      <c r="D17" s="41">
        <v>0</v>
      </c>
      <c r="E17" s="41">
        <v>0</v>
      </c>
      <c r="F17" s="41">
        <v>0</v>
      </c>
      <c r="G17" s="41">
        <v>0</v>
      </c>
      <c r="H17" s="40">
        <f>frac_PW_health_facility</f>
        <v>0.3906</v>
      </c>
      <c r="I17" s="40">
        <f>frac_PW_health_facility</f>
        <v>0.3906</v>
      </c>
      <c r="J17" s="40">
        <f>frac_PW_health_facility</f>
        <v>0.3906</v>
      </c>
      <c r="K17" s="40">
        <f>frac_PW_health_facility</f>
        <v>0.3906</v>
      </c>
      <c r="L17" s="41">
        <v>0</v>
      </c>
      <c r="M17" s="41">
        <v>0</v>
      </c>
      <c r="N17" s="41">
        <v>0</v>
      </c>
      <c r="O17" s="41">
        <v>0</v>
      </c>
    </row>
    <row r="18" spans="1:15" ht="15" customHeight="1" x14ac:dyDescent="0.25">
      <c r="B18" s="38" t="s">
        <v>57</v>
      </c>
      <c r="C18" s="41">
        <v>0</v>
      </c>
      <c r="D18" s="41">
        <v>0</v>
      </c>
      <c r="E18" s="41">
        <v>0</v>
      </c>
      <c r="F18" s="41">
        <v>0</v>
      </c>
      <c r="G18" s="41">
        <v>0</v>
      </c>
      <c r="H18" s="40">
        <f>frac_malaria_risk</f>
        <v>0.54469999999999996</v>
      </c>
      <c r="I18" s="40">
        <f>frac_malaria_risk</f>
        <v>0.54469999999999996</v>
      </c>
      <c r="J18" s="40">
        <f>frac_malaria_risk</f>
        <v>0.54469999999999996</v>
      </c>
      <c r="K18" s="40">
        <f>frac_malaria_risk</f>
        <v>0.54469999999999996</v>
      </c>
      <c r="L18" s="41">
        <v>0</v>
      </c>
      <c r="M18" s="41">
        <v>0</v>
      </c>
      <c r="N18" s="41">
        <v>0</v>
      </c>
      <c r="O18" s="41">
        <v>0</v>
      </c>
    </row>
    <row r="19" spans="1:15" ht="15.75" customHeight="1" x14ac:dyDescent="0.25">
      <c r="B19" s="14" t="s">
        <v>88</v>
      </c>
      <c r="C19" s="41">
        <v>0</v>
      </c>
      <c r="D19" s="41">
        <v>0</v>
      </c>
      <c r="E19" s="41">
        <v>0</v>
      </c>
      <c r="F19" s="41">
        <v>0</v>
      </c>
      <c r="G19" s="41">
        <v>0</v>
      </c>
      <c r="H19" s="40">
        <v>1</v>
      </c>
      <c r="I19" s="40">
        <v>1</v>
      </c>
      <c r="J19" s="40">
        <v>1</v>
      </c>
      <c r="K19" s="40">
        <v>1</v>
      </c>
      <c r="L19" s="41">
        <v>0</v>
      </c>
      <c r="M19" s="41">
        <v>0</v>
      </c>
      <c r="N19" s="41">
        <v>0</v>
      </c>
      <c r="O19" s="41">
        <v>0</v>
      </c>
    </row>
    <row r="20" spans="1:15" ht="15.75" customHeight="1" x14ac:dyDescent="0.25">
      <c r="B20" s="14" t="s">
        <v>87</v>
      </c>
      <c r="C20" s="41">
        <v>0</v>
      </c>
      <c r="D20" s="41">
        <v>0</v>
      </c>
      <c r="E20" s="41">
        <v>0</v>
      </c>
      <c r="F20" s="41">
        <v>0</v>
      </c>
      <c r="G20" s="41">
        <v>0</v>
      </c>
      <c r="H20" s="40">
        <v>1</v>
      </c>
      <c r="I20" s="40">
        <v>1</v>
      </c>
      <c r="J20" s="40">
        <v>1</v>
      </c>
      <c r="K20" s="40">
        <v>1</v>
      </c>
      <c r="L20" s="41">
        <v>0</v>
      </c>
      <c r="M20" s="41">
        <v>0</v>
      </c>
      <c r="N20" s="41">
        <v>0</v>
      </c>
      <c r="O20" s="41">
        <v>0</v>
      </c>
    </row>
    <row r="21" spans="1:15" ht="15.75" customHeight="1" x14ac:dyDescent="0.25">
      <c r="B21" s="38" t="s">
        <v>59</v>
      </c>
      <c r="C21" s="41">
        <v>0</v>
      </c>
      <c r="D21" s="41">
        <v>0</v>
      </c>
      <c r="E21" s="41">
        <v>0</v>
      </c>
      <c r="F21" s="41">
        <v>0</v>
      </c>
      <c r="G21" s="41">
        <v>0</v>
      </c>
      <c r="H21" s="40">
        <f>1</f>
        <v>1</v>
      </c>
      <c r="I21" s="40">
        <f>1</f>
        <v>1</v>
      </c>
      <c r="J21" s="40">
        <f>1</f>
        <v>1</v>
      </c>
      <c r="K21" s="40">
        <f>1</f>
        <v>1</v>
      </c>
      <c r="L21" s="41">
        <v>0</v>
      </c>
      <c r="M21" s="41">
        <v>0</v>
      </c>
      <c r="N21" s="41">
        <v>0</v>
      </c>
      <c r="O21" s="41">
        <v>0</v>
      </c>
    </row>
    <row r="22" spans="1:15" ht="15.75" customHeight="1" x14ac:dyDescent="0.25">
      <c r="B22" s="38"/>
    </row>
    <row r="23" spans="1:15" ht="15.75" customHeight="1" x14ac:dyDescent="0.3">
      <c r="A23" s="69" t="s">
        <v>37</v>
      </c>
      <c r="B23" s="70" t="s">
        <v>198</v>
      </c>
      <c r="C23" s="41">
        <v>0</v>
      </c>
      <c r="D23" s="41">
        <v>0</v>
      </c>
      <c r="E23" s="41">
        <v>0</v>
      </c>
      <c r="F23" s="41">
        <v>0</v>
      </c>
      <c r="G23" s="41">
        <v>0</v>
      </c>
      <c r="H23" s="41">
        <v>0</v>
      </c>
      <c r="I23" s="41">
        <v>0</v>
      </c>
      <c r="J23" s="41">
        <v>0</v>
      </c>
      <c r="K23" s="41">
        <v>0</v>
      </c>
      <c r="L23" s="40">
        <v>1</v>
      </c>
      <c r="M23" s="40">
        <v>1</v>
      </c>
      <c r="N23" s="40">
        <v>1</v>
      </c>
      <c r="O23" s="40">
        <v>1</v>
      </c>
    </row>
    <row r="24" spans="1:15" ht="15.75" customHeight="1" x14ac:dyDescent="0.25">
      <c r="B24" s="70" t="s">
        <v>187</v>
      </c>
      <c r="C24" s="41">
        <v>0</v>
      </c>
      <c r="D24" s="41">
        <v>0</v>
      </c>
      <c r="E24" s="41">
        <v>0</v>
      </c>
      <c r="F24" s="41">
        <v>0</v>
      </c>
      <c r="G24" s="41">
        <v>0</v>
      </c>
      <c r="H24" s="41">
        <v>0</v>
      </c>
      <c r="I24" s="41">
        <v>0</v>
      </c>
      <c r="J24" s="41">
        <v>0</v>
      </c>
      <c r="K24" s="41">
        <v>0</v>
      </c>
      <c r="L24" s="40">
        <f>(1-food_insecure)*(0.49)*(1-school_attendance) + food_insecure*(0.7)*(1-school_attendance)</f>
        <v>0.24759545999999993</v>
      </c>
      <c r="M24" s="40">
        <f>(1-food_insecure)*(0.49)+food_insecure*(0.7)</f>
        <v>0.61180000000000001</v>
      </c>
      <c r="N24" s="40">
        <f>(1-food_insecure)*(0.49)+food_insecure*(0.7)</f>
        <v>0.61180000000000001</v>
      </c>
      <c r="O24" s="40">
        <f>(1-food_insecure)*(0.49)+food_insecure*(0.7)</f>
        <v>0.61180000000000001</v>
      </c>
    </row>
    <row r="25" spans="1:15" ht="15.75" customHeight="1" x14ac:dyDescent="0.25">
      <c r="B25" s="70" t="s">
        <v>188</v>
      </c>
      <c r="C25" s="41">
        <v>0</v>
      </c>
      <c r="D25" s="41">
        <v>0</v>
      </c>
      <c r="E25" s="41">
        <v>0</v>
      </c>
      <c r="F25" s="41">
        <v>0</v>
      </c>
      <c r="G25" s="41">
        <v>0</v>
      </c>
      <c r="H25" s="41">
        <v>0</v>
      </c>
      <c r="I25" s="41">
        <v>0</v>
      </c>
      <c r="J25" s="41">
        <v>0</v>
      </c>
      <c r="K25" s="41">
        <v>0</v>
      </c>
      <c r="L25" s="40">
        <f>(1-food_insecure)*(0.21)*(1-school_attendance) + food_insecure*(0.3)*(1-school_attendance)</f>
        <v>0.10611233999999999</v>
      </c>
      <c r="M25" s="40">
        <f>(1-food_insecure)*(0.21)+food_insecure*(0.3)</f>
        <v>0.26219999999999999</v>
      </c>
      <c r="N25" s="40">
        <f>(1-food_insecure)*(0.21)+food_insecure*(0.3)</f>
        <v>0.26219999999999999</v>
      </c>
      <c r="O25" s="40">
        <f>(1-food_insecure)*(0.21)+food_insecure*(0.3)</f>
        <v>0.26219999999999999</v>
      </c>
    </row>
    <row r="26" spans="1:15" ht="15.75" customHeight="1" x14ac:dyDescent="0.25">
      <c r="B26" s="70" t="s">
        <v>189</v>
      </c>
      <c r="C26" s="41">
        <v>0</v>
      </c>
      <c r="D26" s="41">
        <v>0</v>
      </c>
      <c r="E26" s="41">
        <v>0</v>
      </c>
      <c r="F26" s="41">
        <v>0</v>
      </c>
      <c r="G26" s="41">
        <v>0</v>
      </c>
      <c r="H26" s="41">
        <v>0</v>
      </c>
      <c r="I26" s="41">
        <v>0</v>
      </c>
      <c r="J26" s="41">
        <v>0</v>
      </c>
      <c r="K26" s="41">
        <v>0</v>
      </c>
      <c r="L26" s="40">
        <f>(1-food_insecure)*(0.3)*(1-school_attendance)</f>
        <v>5.0992199999999994E-2</v>
      </c>
      <c r="M26" s="40">
        <f>(1-food_insecure)*(0.3)</f>
        <v>0.126</v>
      </c>
      <c r="N26" s="40">
        <f>(1-food_insecure)*(0.3)</f>
        <v>0.126</v>
      </c>
      <c r="O26" s="40">
        <f>(1-food_insecure)*(0.3)</f>
        <v>0.126</v>
      </c>
    </row>
    <row r="27" spans="1:15" ht="15.75" customHeight="1" x14ac:dyDescent="0.25">
      <c r="B27" s="70" t="s">
        <v>190</v>
      </c>
      <c r="C27" s="41">
        <v>0</v>
      </c>
      <c r="D27" s="41">
        <v>0</v>
      </c>
      <c r="E27" s="41">
        <v>0</v>
      </c>
      <c r="F27" s="41">
        <v>0</v>
      </c>
      <c r="G27" s="41">
        <v>0</v>
      </c>
      <c r="H27" s="41">
        <v>0</v>
      </c>
      <c r="I27" s="41">
        <v>0</v>
      </c>
      <c r="J27" s="41">
        <v>0</v>
      </c>
      <c r="K27" s="41">
        <v>0</v>
      </c>
      <c r="L27" s="40">
        <f>(1-food_insecure)*1*school_attendance + food_insecure*1*school_attendance</f>
        <v>0.59530000000000005</v>
      </c>
      <c r="M27" s="40">
        <v>0</v>
      </c>
      <c r="N27" s="40">
        <v>0</v>
      </c>
      <c r="O27" s="40">
        <v>0</v>
      </c>
    </row>
    <row r="28" spans="1:15" ht="15.75" customHeight="1" x14ac:dyDescent="0.25">
      <c r="B28" s="14"/>
      <c r="C28" s="2"/>
      <c r="D28" s="2"/>
      <c r="E28" s="13"/>
      <c r="F28" s="13"/>
      <c r="G28" s="13"/>
      <c r="H28" s="13"/>
      <c r="I28" s="13"/>
    </row>
    <row r="29" spans="1:15" ht="15.75" customHeight="1" x14ac:dyDescent="0.3">
      <c r="A29" s="4" t="s">
        <v>35</v>
      </c>
      <c r="B29" s="14" t="s">
        <v>63</v>
      </c>
      <c r="C29" s="40">
        <v>0</v>
      </c>
      <c r="D29" s="40">
        <v>0</v>
      </c>
      <c r="E29" s="40">
        <f t="shared" ref="E29:O29" si="0">frac_maize</f>
        <v>0</v>
      </c>
      <c r="F29" s="40">
        <f t="shared" si="0"/>
        <v>0</v>
      </c>
      <c r="G29" s="40">
        <f t="shared" si="0"/>
        <v>0</v>
      </c>
      <c r="H29" s="40">
        <f t="shared" si="0"/>
        <v>0</v>
      </c>
      <c r="I29" s="40">
        <f t="shared" si="0"/>
        <v>0</v>
      </c>
      <c r="J29" s="40">
        <f t="shared" si="0"/>
        <v>0</v>
      </c>
      <c r="K29" s="40">
        <f t="shared" si="0"/>
        <v>0</v>
      </c>
      <c r="L29" s="40">
        <f t="shared" si="0"/>
        <v>0</v>
      </c>
      <c r="M29" s="40">
        <f t="shared" si="0"/>
        <v>0</v>
      </c>
      <c r="N29" s="40">
        <f t="shared" si="0"/>
        <v>0</v>
      </c>
      <c r="O29" s="40">
        <f t="shared" si="0"/>
        <v>0</v>
      </c>
    </row>
    <row r="30" spans="1:15" ht="15.75" customHeight="1" x14ac:dyDescent="0.25">
      <c r="B30" s="14" t="s">
        <v>64</v>
      </c>
      <c r="C30" s="40">
        <v>0</v>
      </c>
      <c r="D30" s="40">
        <v>0</v>
      </c>
      <c r="E30" s="40">
        <f t="shared" ref="E30:O30" si="1">frac_rice</f>
        <v>0</v>
      </c>
      <c r="F30" s="40">
        <f t="shared" si="1"/>
        <v>0</v>
      </c>
      <c r="G30" s="40">
        <f t="shared" si="1"/>
        <v>0</v>
      </c>
      <c r="H30" s="40">
        <f t="shared" si="1"/>
        <v>0</v>
      </c>
      <c r="I30" s="40">
        <f t="shared" si="1"/>
        <v>0</v>
      </c>
      <c r="J30" s="40">
        <f t="shared" si="1"/>
        <v>0</v>
      </c>
      <c r="K30" s="40">
        <f t="shared" si="1"/>
        <v>0</v>
      </c>
      <c r="L30" s="40">
        <f t="shared" si="1"/>
        <v>0</v>
      </c>
      <c r="M30" s="40">
        <f t="shared" si="1"/>
        <v>0</v>
      </c>
      <c r="N30" s="40">
        <f t="shared" si="1"/>
        <v>0</v>
      </c>
      <c r="O30" s="40">
        <f t="shared" si="1"/>
        <v>0</v>
      </c>
    </row>
    <row r="31" spans="1:15" ht="15.75" customHeight="1" x14ac:dyDescent="0.25">
      <c r="B31" s="14" t="s">
        <v>62</v>
      </c>
      <c r="C31" s="40">
        <v>0</v>
      </c>
      <c r="D31" s="40">
        <v>0</v>
      </c>
      <c r="E31" s="40">
        <f t="shared" ref="E31:O31" si="2">frac_wheat</f>
        <v>0</v>
      </c>
      <c r="F31" s="40">
        <f t="shared" si="2"/>
        <v>0</v>
      </c>
      <c r="G31" s="40">
        <f t="shared" si="2"/>
        <v>0</v>
      </c>
      <c r="H31" s="40">
        <f t="shared" si="2"/>
        <v>0</v>
      </c>
      <c r="I31" s="40">
        <f t="shared" si="2"/>
        <v>0</v>
      </c>
      <c r="J31" s="40">
        <f t="shared" si="2"/>
        <v>0</v>
      </c>
      <c r="K31" s="40">
        <f t="shared" si="2"/>
        <v>0</v>
      </c>
      <c r="L31" s="40">
        <f t="shared" si="2"/>
        <v>0</v>
      </c>
      <c r="M31" s="40">
        <f t="shared" si="2"/>
        <v>0</v>
      </c>
      <c r="N31" s="40">
        <f t="shared" si="2"/>
        <v>0</v>
      </c>
      <c r="O31" s="40">
        <f t="shared" si="2"/>
        <v>0</v>
      </c>
    </row>
    <row r="32" spans="1:15" ht="15.75" customHeight="1" x14ac:dyDescent="0.25">
      <c r="B32" s="14" t="s">
        <v>47</v>
      </c>
      <c r="C32" s="40">
        <v>0</v>
      </c>
      <c r="D32" s="40">
        <v>0</v>
      </c>
      <c r="E32" s="40">
        <v>1</v>
      </c>
      <c r="F32" s="40">
        <v>1</v>
      </c>
      <c r="G32" s="40">
        <v>1</v>
      </c>
      <c r="H32" s="40">
        <v>1</v>
      </c>
      <c r="I32" s="40">
        <v>1</v>
      </c>
      <c r="J32" s="40">
        <v>1</v>
      </c>
      <c r="K32" s="40">
        <v>1</v>
      </c>
      <c r="L32" s="40">
        <v>1</v>
      </c>
      <c r="M32" s="40">
        <v>1</v>
      </c>
      <c r="N32" s="40">
        <v>1</v>
      </c>
      <c r="O32" s="40">
        <v>1</v>
      </c>
    </row>
    <row r="33" spans="1:15" ht="15.75" customHeight="1" x14ac:dyDescent="0.25">
      <c r="B33" s="14" t="s">
        <v>34</v>
      </c>
      <c r="C33" s="40">
        <f t="shared" ref="C33:O33" si="3">frac_malaria_risk</f>
        <v>0.54469999999999996</v>
      </c>
      <c r="D33" s="40">
        <f t="shared" si="3"/>
        <v>0.54469999999999996</v>
      </c>
      <c r="E33" s="40">
        <f t="shared" si="3"/>
        <v>0.54469999999999996</v>
      </c>
      <c r="F33" s="40">
        <f t="shared" si="3"/>
        <v>0.54469999999999996</v>
      </c>
      <c r="G33" s="40">
        <f t="shared" si="3"/>
        <v>0.54469999999999996</v>
      </c>
      <c r="H33" s="40">
        <f t="shared" si="3"/>
        <v>0.54469999999999996</v>
      </c>
      <c r="I33" s="40">
        <f t="shared" si="3"/>
        <v>0.54469999999999996</v>
      </c>
      <c r="J33" s="40">
        <f t="shared" si="3"/>
        <v>0.54469999999999996</v>
      </c>
      <c r="K33" s="40">
        <f t="shared" si="3"/>
        <v>0.54469999999999996</v>
      </c>
      <c r="L33" s="40">
        <f t="shared" si="3"/>
        <v>0.54469999999999996</v>
      </c>
      <c r="M33" s="40">
        <f t="shared" si="3"/>
        <v>0.54469999999999996</v>
      </c>
      <c r="N33" s="40">
        <f t="shared" si="3"/>
        <v>0.54469999999999996</v>
      </c>
      <c r="O33" s="40">
        <f t="shared" si="3"/>
        <v>0.54469999999999996</v>
      </c>
    </row>
    <row r="34" spans="1:15" ht="15.75" customHeight="1" x14ac:dyDescent="0.25">
      <c r="B34" s="38" t="s">
        <v>83</v>
      </c>
      <c r="C34" s="40">
        <v>1</v>
      </c>
      <c r="D34" s="40">
        <v>1</v>
      </c>
      <c r="E34" s="40">
        <v>1</v>
      </c>
      <c r="F34" s="40">
        <v>1</v>
      </c>
      <c r="G34" s="40">
        <v>1</v>
      </c>
      <c r="H34" s="40">
        <v>1</v>
      </c>
      <c r="I34" s="40">
        <v>1</v>
      </c>
      <c r="J34" s="40">
        <v>1</v>
      </c>
      <c r="K34" s="40">
        <v>1</v>
      </c>
      <c r="L34" s="40">
        <v>1</v>
      </c>
      <c r="M34" s="40">
        <v>1</v>
      </c>
      <c r="N34" s="40">
        <v>1</v>
      </c>
      <c r="O34" s="40">
        <v>1</v>
      </c>
    </row>
    <row r="35" spans="1:15" ht="15.75" customHeight="1" x14ac:dyDescent="0.25">
      <c r="A35" s="5"/>
      <c r="B35" s="38" t="s">
        <v>82</v>
      </c>
      <c r="C35" s="40">
        <v>1</v>
      </c>
      <c r="D35" s="40">
        <v>1</v>
      </c>
      <c r="E35" s="40">
        <v>1</v>
      </c>
      <c r="F35" s="40">
        <v>1</v>
      </c>
      <c r="G35" s="40">
        <v>1</v>
      </c>
      <c r="H35" s="40">
        <v>1</v>
      </c>
      <c r="I35" s="40">
        <v>1</v>
      </c>
      <c r="J35" s="40">
        <v>1</v>
      </c>
      <c r="K35" s="40">
        <v>1</v>
      </c>
      <c r="L35" s="40">
        <v>1</v>
      </c>
      <c r="M35" s="40">
        <v>1</v>
      </c>
      <c r="N35" s="40">
        <v>1</v>
      </c>
      <c r="O35" s="40">
        <v>1</v>
      </c>
    </row>
    <row r="36" spans="1:15" s="5" customFormat="1" ht="15.75" customHeight="1" x14ac:dyDescent="0.25">
      <c r="B36" s="38" t="s">
        <v>81</v>
      </c>
      <c r="C36" s="40">
        <v>1</v>
      </c>
      <c r="D36" s="40">
        <v>1</v>
      </c>
      <c r="E36" s="40">
        <v>1</v>
      </c>
      <c r="F36" s="40">
        <v>1</v>
      </c>
      <c r="G36" s="40">
        <v>1</v>
      </c>
      <c r="H36" s="40">
        <v>1</v>
      </c>
      <c r="I36" s="40">
        <v>1</v>
      </c>
      <c r="J36" s="40">
        <v>1</v>
      </c>
      <c r="K36" s="40">
        <v>1</v>
      </c>
      <c r="L36" s="40">
        <v>1</v>
      </c>
      <c r="M36" s="40">
        <v>1</v>
      </c>
      <c r="N36" s="40">
        <v>1</v>
      </c>
      <c r="O36" s="40">
        <v>1</v>
      </c>
    </row>
    <row r="37" spans="1:15" s="5" customFormat="1" ht="15.75" customHeight="1" x14ac:dyDescent="0.25">
      <c r="B37" s="38" t="s">
        <v>79</v>
      </c>
      <c r="C37" s="40">
        <v>1</v>
      </c>
      <c r="D37" s="40">
        <v>1</v>
      </c>
      <c r="E37" s="40">
        <v>1</v>
      </c>
      <c r="F37" s="40">
        <v>1</v>
      </c>
      <c r="G37" s="40">
        <v>1</v>
      </c>
      <c r="H37" s="40">
        <v>1</v>
      </c>
      <c r="I37" s="40">
        <v>1</v>
      </c>
      <c r="J37" s="40">
        <v>1</v>
      </c>
      <c r="K37" s="40">
        <v>1</v>
      </c>
      <c r="L37" s="40">
        <v>1</v>
      </c>
      <c r="M37" s="40">
        <v>1</v>
      </c>
      <c r="N37" s="40">
        <v>1</v>
      </c>
      <c r="O37" s="40">
        <v>1</v>
      </c>
    </row>
    <row r="38" spans="1:15" s="5" customFormat="1" ht="15.75" customHeight="1" x14ac:dyDescent="0.25">
      <c r="B38" s="38" t="s">
        <v>80</v>
      </c>
      <c r="C38" s="40">
        <v>1</v>
      </c>
      <c r="D38" s="40">
        <v>1</v>
      </c>
      <c r="E38" s="40">
        <v>1</v>
      </c>
      <c r="F38" s="40">
        <v>1</v>
      </c>
      <c r="G38" s="40">
        <v>1</v>
      </c>
      <c r="H38" s="40">
        <v>1</v>
      </c>
      <c r="I38" s="40">
        <v>1</v>
      </c>
      <c r="J38" s="40">
        <v>1</v>
      </c>
      <c r="K38" s="40">
        <v>1</v>
      </c>
      <c r="L38" s="40">
        <v>1</v>
      </c>
      <c r="M38" s="40">
        <v>1</v>
      </c>
      <c r="N38" s="40">
        <v>1</v>
      </c>
      <c r="O38" s="40">
        <v>1</v>
      </c>
    </row>
    <row r="39" spans="1:15" ht="15.75" customHeight="1" x14ac:dyDescent="0.25">
      <c r="B39" s="38"/>
    </row>
  </sheetData>
  <sortState ref="B14:O21">
    <sortCondition ref="B14:B21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E11"/>
  <sheetViews>
    <sheetView workbookViewId="0">
      <selection activeCell="E2" sqref="E2:E10"/>
    </sheetView>
  </sheetViews>
  <sheetFormatPr defaultColWidth="11.36328125" defaultRowHeight="12.5" x14ac:dyDescent="0.25"/>
  <cols>
    <col min="1" max="1" width="33.54296875" style="42" customWidth="1"/>
    <col min="2" max="2" width="12.36328125" style="42" customWidth="1"/>
    <col min="3" max="4" width="11.36328125" style="42"/>
    <col min="5" max="5" width="17.36328125" style="42" customWidth="1"/>
    <col min="6" max="16384" width="11.36328125" style="42"/>
  </cols>
  <sheetData>
    <row r="1" spans="1:5" ht="13" x14ac:dyDescent="0.3">
      <c r="A1" s="47" t="s">
        <v>164</v>
      </c>
      <c r="B1" s="47" t="s">
        <v>163</v>
      </c>
      <c r="C1" s="47" t="s">
        <v>162</v>
      </c>
      <c r="D1" s="47" t="s">
        <v>161</v>
      </c>
      <c r="E1" s="47" t="s">
        <v>160</v>
      </c>
    </row>
    <row r="2" spans="1:5" ht="14" x14ac:dyDescent="0.3">
      <c r="A2" s="46" t="s">
        <v>159</v>
      </c>
      <c r="B2" s="45">
        <v>0.9</v>
      </c>
      <c r="C2" s="44">
        <v>0.09</v>
      </c>
      <c r="D2" s="42">
        <v>0.8</v>
      </c>
      <c r="E2" s="42">
        <f t="shared" ref="E2:E10" si="0">C2*D2</f>
        <v>7.1999999999999995E-2</v>
      </c>
    </row>
    <row r="3" spans="1:5" ht="14" x14ac:dyDescent="0.3">
      <c r="A3" s="46" t="s">
        <v>158</v>
      </c>
      <c r="B3" s="45">
        <v>1</v>
      </c>
      <c r="C3" s="44">
        <v>0.02</v>
      </c>
      <c r="D3" s="42">
        <v>1.9</v>
      </c>
      <c r="E3" s="42">
        <f t="shared" si="0"/>
        <v>3.7999999999999999E-2</v>
      </c>
    </row>
    <row r="4" spans="1:5" ht="14" x14ac:dyDescent="0.3">
      <c r="A4" s="46" t="s">
        <v>157</v>
      </c>
      <c r="B4" s="45">
        <v>1</v>
      </c>
      <c r="C4" s="44">
        <v>0.08</v>
      </c>
      <c r="D4" s="42">
        <v>2</v>
      </c>
      <c r="E4" s="42">
        <f t="shared" si="0"/>
        <v>0.16</v>
      </c>
    </row>
    <row r="5" spans="1:5" ht="14" x14ac:dyDescent="0.3">
      <c r="A5" s="46" t="s">
        <v>156</v>
      </c>
      <c r="B5" s="45">
        <v>1</v>
      </c>
      <c r="C5" s="44">
        <v>0.18</v>
      </c>
      <c r="D5" s="42">
        <v>0.7</v>
      </c>
      <c r="E5" s="42">
        <f t="shared" si="0"/>
        <v>0.126</v>
      </c>
    </row>
    <row r="6" spans="1:5" ht="14" x14ac:dyDescent="0.3">
      <c r="A6" s="46" t="s">
        <v>155</v>
      </c>
      <c r="B6" s="45">
        <v>1</v>
      </c>
      <c r="C6" s="44">
        <v>0.02</v>
      </c>
      <c r="D6" s="42">
        <v>0.7</v>
      </c>
      <c r="E6" s="42">
        <f t="shared" si="0"/>
        <v>1.3999999999999999E-2</v>
      </c>
    </row>
    <row r="7" spans="1:5" ht="14" x14ac:dyDescent="0.3">
      <c r="A7" s="46" t="s">
        <v>154</v>
      </c>
      <c r="B7" s="45">
        <v>0.93</v>
      </c>
      <c r="C7" s="44">
        <v>0.45</v>
      </c>
      <c r="D7" s="42">
        <v>0.9</v>
      </c>
      <c r="E7" s="42">
        <f t="shared" si="0"/>
        <v>0.40500000000000003</v>
      </c>
    </row>
    <row r="8" spans="1:5" ht="14" x14ac:dyDescent="0.3">
      <c r="A8" s="46" t="s">
        <v>153</v>
      </c>
      <c r="B8" s="45">
        <v>0.5</v>
      </c>
      <c r="C8" s="44">
        <v>0.03</v>
      </c>
      <c r="D8" s="42">
        <v>0</v>
      </c>
      <c r="E8" s="42">
        <f t="shared" si="0"/>
        <v>0</v>
      </c>
    </row>
    <row r="9" spans="1:5" ht="14" x14ac:dyDescent="0.3">
      <c r="A9" s="46" t="s">
        <v>152</v>
      </c>
      <c r="B9" s="45">
        <v>0.5</v>
      </c>
      <c r="C9" s="44">
        <v>0.11</v>
      </c>
      <c r="D9" s="42">
        <v>0</v>
      </c>
      <c r="E9" s="42">
        <f t="shared" si="0"/>
        <v>0</v>
      </c>
    </row>
    <row r="10" spans="1:5" ht="14" x14ac:dyDescent="0.3">
      <c r="A10" s="46" t="s">
        <v>151</v>
      </c>
      <c r="B10" s="45">
        <v>0.98</v>
      </c>
      <c r="C10" s="44">
        <v>0.01</v>
      </c>
      <c r="D10" s="42">
        <v>0.6</v>
      </c>
      <c r="E10" s="42">
        <f t="shared" si="0"/>
        <v>6.0000000000000001E-3</v>
      </c>
    </row>
    <row r="11" spans="1:5" x14ac:dyDescent="0.25">
      <c r="C11" s="43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J40"/>
  <sheetViews>
    <sheetView zoomScaleNormal="100" workbookViewId="0">
      <selection sqref="A1:G17"/>
    </sheetView>
  </sheetViews>
  <sheetFormatPr defaultColWidth="14.36328125" defaultRowHeight="15.75" customHeight="1" x14ac:dyDescent="0.25"/>
  <cols>
    <col min="1" max="1" width="8.36328125" style="15" customWidth="1"/>
    <col min="2" max="10" width="16.81640625" style="15" customWidth="1"/>
    <col min="11" max="16384" width="14.36328125" style="15"/>
  </cols>
  <sheetData>
    <row r="1" spans="1:10" s="23" customFormat="1" ht="30" customHeight="1" x14ac:dyDescent="0.3">
      <c r="A1" s="35" t="s">
        <v>0</v>
      </c>
      <c r="B1" s="29" t="s">
        <v>112</v>
      </c>
      <c r="C1" s="26" t="s">
        <v>113</v>
      </c>
      <c r="D1" s="26" t="s">
        <v>49</v>
      </c>
      <c r="E1" s="26" t="s">
        <v>50</v>
      </c>
      <c r="F1" s="26" t="s">
        <v>51</v>
      </c>
      <c r="G1" s="26" t="s">
        <v>52</v>
      </c>
      <c r="H1" s="26" t="s">
        <v>114</v>
      </c>
      <c r="I1" s="26" t="s">
        <v>131</v>
      </c>
      <c r="J1" s="26" t="s">
        <v>36</v>
      </c>
    </row>
    <row r="2" spans="1:10" ht="15.75" customHeight="1" x14ac:dyDescent="0.25">
      <c r="A2" s="9">
        <v>2015</v>
      </c>
      <c r="B2" s="80">
        <v>47113.2</v>
      </c>
      <c r="C2" s="81">
        <v>178000</v>
      </c>
      <c r="D2" s="81">
        <v>62000</v>
      </c>
      <c r="E2" s="81">
        <v>93000</v>
      </c>
      <c r="F2" s="81">
        <v>70000</v>
      </c>
      <c r="G2" s="81">
        <v>49000</v>
      </c>
      <c r="H2" s="25">
        <f t="shared" ref="H2:H40" si="0">D2+E2+F2+G2</f>
        <v>274000</v>
      </c>
      <c r="I2" s="25">
        <f>(B2 + stillbirth*B2/(1000-stillbirth))/(1-abortion)</f>
        <v>55671.258672268617</v>
      </c>
      <c r="J2" s="25">
        <f>H2-I2</f>
        <v>218328.74132773138</v>
      </c>
    </row>
    <row r="3" spans="1:10" ht="15.75" customHeight="1" x14ac:dyDescent="0.25">
      <c r="A3" s="9">
        <v>2016</v>
      </c>
      <c r="B3" s="80">
        <v>48360.432897849496</v>
      </c>
      <c r="C3" s="81">
        <v>183731.6</v>
      </c>
      <c r="D3" s="81">
        <v>63996.4</v>
      </c>
      <c r="E3" s="81">
        <v>95994.6</v>
      </c>
      <c r="F3" s="81">
        <v>72254</v>
      </c>
      <c r="G3" s="81">
        <v>50577.8</v>
      </c>
      <c r="H3" s="25">
        <f t="shared" si="0"/>
        <v>282822.8</v>
      </c>
      <c r="I3" s="25">
        <f t="shared" ref="I3:I40" si="1">(B3 + stillbirth*B3/(1000-stillbirth))/(1-abortion)</f>
        <v>57145.049993612593</v>
      </c>
      <c r="J3" s="25">
        <f t="shared" ref="J3:J15" si="2">H3-I3</f>
        <v>225677.75000638739</v>
      </c>
    </row>
    <row r="4" spans="1:10" ht="15.75" customHeight="1" x14ac:dyDescent="0.25">
      <c r="A4" s="9">
        <v>2017</v>
      </c>
      <c r="B4" s="80">
        <v>49640.683928652776</v>
      </c>
      <c r="C4" s="81">
        <v>189647.75752000001</v>
      </c>
      <c r="D4" s="81">
        <v>66057.084080000001</v>
      </c>
      <c r="E4" s="81">
        <v>99085.626120000001</v>
      </c>
      <c r="F4" s="81">
        <v>74580.578800000003</v>
      </c>
      <c r="G4" s="81">
        <v>52206.405160000002</v>
      </c>
      <c r="H4" s="25">
        <f t="shared" si="0"/>
        <v>291929.69416000001</v>
      </c>
      <c r="I4" s="25">
        <f t="shared" si="1"/>
        <v>58657.857153841323</v>
      </c>
      <c r="J4" s="25">
        <f t="shared" si="2"/>
        <v>233271.83700615869</v>
      </c>
    </row>
    <row r="5" spans="1:10" ht="15.75" customHeight="1" x14ac:dyDescent="0.25">
      <c r="A5" s="9">
        <v>2018</v>
      </c>
      <c r="B5" s="80">
        <v>50954.82718505575</v>
      </c>
      <c r="C5" s="81">
        <v>195754.415312144</v>
      </c>
      <c r="D5" s="81">
        <v>68184.122187376008</v>
      </c>
      <c r="E5" s="81">
        <v>102276.183281064</v>
      </c>
      <c r="F5" s="81">
        <v>76982.073437359999</v>
      </c>
      <c r="G5" s="81">
        <v>53887.451406152002</v>
      </c>
      <c r="H5" s="25">
        <f t="shared" si="0"/>
        <v>301329.83031195198</v>
      </c>
      <c r="I5" s="25">
        <f t="shared" si="1"/>
        <v>60210.713023525976</v>
      </c>
      <c r="J5" s="25">
        <f t="shared" si="2"/>
        <v>241119.117288426</v>
      </c>
    </row>
    <row r="6" spans="1:10" ht="15.75" customHeight="1" x14ac:dyDescent="0.25">
      <c r="A6" s="9">
        <v>2019</v>
      </c>
      <c r="B6" s="80">
        <v>52231.560610973182</v>
      </c>
      <c r="C6" s="81">
        <v>202057.70748519505</v>
      </c>
      <c r="D6" s="81">
        <v>70379.650921809516</v>
      </c>
      <c r="E6" s="81">
        <v>105569.47638271426</v>
      </c>
      <c r="F6" s="81">
        <v>79460.89620204299</v>
      </c>
      <c r="G6" s="81">
        <v>55622.627341430096</v>
      </c>
      <c r="H6" s="25">
        <f t="shared" si="0"/>
        <v>311032.65084799688</v>
      </c>
      <c r="I6" s="25">
        <f t="shared" si="1"/>
        <v>61719.363609981177</v>
      </c>
      <c r="J6" s="25">
        <f t="shared" si="2"/>
        <v>249313.28723801571</v>
      </c>
    </row>
    <row r="7" spans="1:10" ht="15.75" customHeight="1" x14ac:dyDescent="0.25">
      <c r="A7" s="9">
        <v>2020</v>
      </c>
      <c r="B7" s="80">
        <v>53485.46062641099</v>
      </c>
      <c r="C7" s="81">
        <v>208208.34410104438</v>
      </c>
      <c r="D7" s="81">
        <v>72522.007495869402</v>
      </c>
      <c r="E7" s="81">
        <v>108783.01124380408</v>
      </c>
      <c r="F7" s="81">
        <v>81879.685882433187</v>
      </c>
      <c r="G7" s="81">
        <v>57315.780117703231</v>
      </c>
      <c r="H7" s="25">
        <f t="shared" si="0"/>
        <v>320500.48473980994</v>
      </c>
      <c r="I7" s="25">
        <f t="shared" si="1"/>
        <v>63201.033123166439</v>
      </c>
      <c r="J7" s="25">
        <f t="shared" si="2"/>
        <v>257299.45161664349</v>
      </c>
    </row>
    <row r="8" spans="1:10" ht="15.75" customHeight="1" x14ac:dyDescent="0.25">
      <c r="A8" s="9">
        <v>2021</v>
      </c>
      <c r="B8" s="80">
        <v>54838.608474997505</v>
      </c>
      <c r="C8" s="81">
        <v>214546.20609548019</v>
      </c>
      <c r="D8" s="81">
        <v>74729.577404043666</v>
      </c>
      <c r="E8" s="81">
        <v>112094.36610606548</v>
      </c>
      <c r="F8" s="81">
        <v>84372.103520694451</v>
      </c>
      <c r="G8" s="81">
        <v>59060.47246448612</v>
      </c>
      <c r="H8" s="25">
        <f t="shared" si="0"/>
        <v>330256.51949528977</v>
      </c>
      <c r="I8" s="25">
        <f t="shared" si="1"/>
        <v>64799.978724409484</v>
      </c>
      <c r="J8" s="25">
        <f t="shared" si="2"/>
        <v>265456.5407708803</v>
      </c>
    </row>
    <row r="9" spans="1:10" ht="15.75" customHeight="1" x14ac:dyDescent="0.25">
      <c r="A9" s="9">
        <v>2022</v>
      </c>
      <c r="B9" s="80">
        <v>56175.227438321672</v>
      </c>
      <c r="C9" s="81">
        <v>221076.99260902661</v>
      </c>
      <c r="D9" s="81">
        <v>77004.34574022275</v>
      </c>
      <c r="E9" s="81">
        <v>115506.51861033413</v>
      </c>
      <c r="F9" s="81">
        <v>86940.390351864393</v>
      </c>
      <c r="G9" s="81">
        <v>60858.273246305078</v>
      </c>
      <c r="H9" s="25">
        <f t="shared" si="0"/>
        <v>340309.52794872632</v>
      </c>
      <c r="I9" s="25">
        <f t="shared" si="1"/>
        <v>66379.392987365078</v>
      </c>
      <c r="J9" s="25">
        <f t="shared" si="2"/>
        <v>273930.13496136124</v>
      </c>
    </row>
    <row r="10" spans="1:10" ht="15.75" customHeight="1" x14ac:dyDescent="0.25">
      <c r="A10" s="9">
        <v>2023</v>
      </c>
      <c r="B10" s="80">
        <v>57539.13620229088</v>
      </c>
      <c r="C10" s="81">
        <v>227806.57626404538</v>
      </c>
      <c r="D10" s="81">
        <v>79348.358024555127</v>
      </c>
      <c r="E10" s="81">
        <v>119022.5370368327</v>
      </c>
      <c r="F10" s="81">
        <v>89586.855834175149</v>
      </c>
      <c r="G10" s="81">
        <v>62710.799083922604</v>
      </c>
      <c r="H10" s="25">
        <f t="shared" si="0"/>
        <v>350668.54997948557</v>
      </c>
      <c r="I10" s="25">
        <f t="shared" si="1"/>
        <v>67991.054211911556</v>
      </c>
      <c r="J10" s="25">
        <f t="shared" si="2"/>
        <v>282677.495767574</v>
      </c>
    </row>
    <row r="11" spans="1:10" ht="15.75" customHeight="1" x14ac:dyDescent="0.25">
      <c r="A11" s="9">
        <v>2024</v>
      </c>
      <c r="B11" s="80">
        <v>59016.124003667988</v>
      </c>
      <c r="C11" s="81">
        <v>234741.00844552292</v>
      </c>
      <c r="D11" s="81">
        <v>81763.722042822585</v>
      </c>
      <c r="E11" s="81">
        <v>122645.58306423388</v>
      </c>
      <c r="F11" s="81">
        <v>92313.879725767445</v>
      </c>
      <c r="G11" s="81">
        <v>64619.71580803721</v>
      </c>
      <c r="H11" s="25">
        <f t="shared" si="0"/>
        <v>361342.90064086113</v>
      </c>
      <c r="I11" s="25">
        <f t="shared" si="1"/>
        <v>69736.3351511441</v>
      </c>
      <c r="J11" s="25">
        <f t="shared" si="2"/>
        <v>291606.56548971706</v>
      </c>
    </row>
    <row r="12" spans="1:10" ht="15.75" customHeight="1" x14ac:dyDescent="0.25">
      <c r="A12" s="9">
        <v>2025</v>
      </c>
      <c r="B12" s="80">
        <v>60549.10731625394</v>
      </c>
      <c r="C12" s="81">
        <v>241532.06581985188</v>
      </c>
      <c r="D12" s="81">
        <v>84129.146521521427</v>
      </c>
      <c r="E12" s="81">
        <v>126193.71978228216</v>
      </c>
      <c r="F12" s="81">
        <v>94984.520266233885</v>
      </c>
      <c r="G12" s="81">
        <v>66489.16418636372</v>
      </c>
      <c r="H12" s="25">
        <f t="shared" si="0"/>
        <v>371796.55075640115</v>
      </c>
      <c r="I12" s="25">
        <f t="shared" si="1"/>
        <v>71547.783121887827</v>
      </c>
      <c r="J12" s="25">
        <f t="shared" si="2"/>
        <v>300248.76763451332</v>
      </c>
    </row>
    <row r="13" spans="1:10" ht="15.75" customHeight="1" x14ac:dyDescent="0.25">
      <c r="A13" s="9">
        <v>2026</v>
      </c>
      <c r="B13" s="80">
        <v>62041.178284344736</v>
      </c>
      <c r="C13" s="81">
        <v>248519.58848402018</v>
      </c>
      <c r="D13" s="81">
        <v>86563.002730389038</v>
      </c>
      <c r="E13" s="81">
        <v>129844.50409558357</v>
      </c>
      <c r="F13" s="81">
        <v>97732.422437536021</v>
      </c>
      <c r="G13" s="81">
        <v>68412.695706275219</v>
      </c>
      <c r="H13" s="25">
        <f t="shared" si="0"/>
        <v>382552.62496978388</v>
      </c>
      <c r="I13" s="25">
        <f t="shared" si="1"/>
        <v>73310.887067745149</v>
      </c>
      <c r="J13" s="25">
        <f t="shared" si="2"/>
        <v>309241.73790203873</v>
      </c>
    </row>
    <row r="14" spans="1:10" ht="15.75" customHeight="1" x14ac:dyDescent="0.25">
      <c r="A14" s="9">
        <v>2027</v>
      </c>
      <c r="B14" s="80">
        <v>63716.184813941341</v>
      </c>
      <c r="C14" s="81">
        <v>255709.26017886287</v>
      </c>
      <c r="D14" s="81">
        <v>89067.27039937918</v>
      </c>
      <c r="E14" s="81">
        <v>133600.90559906879</v>
      </c>
      <c r="F14" s="81">
        <v>100559.82141865393</v>
      </c>
      <c r="G14" s="81">
        <v>70391.874993057761</v>
      </c>
      <c r="H14" s="25">
        <f t="shared" si="0"/>
        <v>393619.87241015967</v>
      </c>
      <c r="I14" s="25">
        <f t="shared" si="1"/>
        <v>75290.156609761223</v>
      </c>
      <c r="J14" s="25">
        <f t="shared" si="2"/>
        <v>318329.71580039844</v>
      </c>
    </row>
    <row r="15" spans="1:10" ht="15.75" customHeight="1" x14ac:dyDescent="0.25">
      <c r="A15" s="9">
        <v>2028</v>
      </c>
      <c r="B15" s="80">
        <v>65274.475653286034</v>
      </c>
      <c r="C15" s="81">
        <v>263106.92907583737</v>
      </c>
      <c r="D15" s="81">
        <v>91643.986532033217</v>
      </c>
      <c r="E15" s="81">
        <v>137465.97979804984</v>
      </c>
      <c r="F15" s="81">
        <v>103469.01705229557</v>
      </c>
      <c r="G15" s="81">
        <v>72428.311936606915</v>
      </c>
      <c r="H15" s="25">
        <f t="shared" si="0"/>
        <v>405007.29531898559</v>
      </c>
      <c r="I15" s="25">
        <f t="shared" si="1"/>
        <v>77131.509190434692</v>
      </c>
      <c r="J15" s="25">
        <f t="shared" si="2"/>
        <v>327875.78612855088</v>
      </c>
    </row>
    <row r="16" spans="1:10" ht="15.75" customHeight="1" x14ac:dyDescent="0.25">
      <c r="A16" s="9">
        <v>2029</v>
      </c>
      <c r="B16" s="8">
        <v>66913.488262315863</v>
      </c>
      <c r="C16" s="24">
        <v>269784.48611935816</v>
      </c>
      <c r="D16" s="24">
        <v>94459.949258087392</v>
      </c>
      <c r="E16" s="24">
        <v>142697.45747423585</v>
      </c>
      <c r="F16" s="24">
        <v>106982.8907008489</v>
      </c>
      <c r="G16" s="24">
        <v>74978.389454142525</v>
      </c>
      <c r="H16" s="25">
        <f t="shared" si="0"/>
        <v>419118.68688731466</v>
      </c>
      <c r="I16" s="25">
        <f t="shared" si="1"/>
        <v>79068.246557550679</v>
      </c>
      <c r="J16" s="25">
        <f t="shared" ref="J16:J40" si="3">H16-I16</f>
        <v>340050.44032976398</v>
      </c>
    </row>
    <row r="17" spans="1:10" ht="15.75" customHeight="1" x14ac:dyDescent="0.25">
      <c r="A17" s="9">
        <v>2030</v>
      </c>
      <c r="B17" s="8">
        <v>69237.026247656511</v>
      </c>
      <c r="C17" s="24">
        <v>277156.88948772941</v>
      </c>
      <c r="D17" s="24">
        <v>97211.68630106929</v>
      </c>
      <c r="E17" s="24">
        <v>148051.49906536107</v>
      </c>
      <c r="F17" s="24">
        <v>110696.43126160422</v>
      </c>
      <c r="G17" s="24">
        <v>77614.804344005272</v>
      </c>
      <c r="H17" s="25">
        <f t="shared" si="0"/>
        <v>433574.42097203992</v>
      </c>
      <c r="I17" s="25">
        <f t="shared" si="1"/>
        <v>81813.852549432821</v>
      </c>
      <c r="J17" s="25">
        <f t="shared" si="3"/>
        <v>351760.56842260709</v>
      </c>
    </row>
    <row r="18" spans="1:10" ht="15.75" customHeight="1" x14ac:dyDescent="0.25">
      <c r="A18" s="9" t="str">
        <f t="shared" ref="A18:A40" si="4">IF($A$2+ROW(A18)-2&lt;=end_year,A17+1,"")</f>
        <v/>
      </c>
      <c r="B18" s="8"/>
      <c r="C18" s="24"/>
      <c r="D18" s="24"/>
      <c r="E18" s="24"/>
      <c r="F18" s="24"/>
      <c r="G18" s="24"/>
      <c r="H18" s="25">
        <f t="shared" si="0"/>
        <v>0</v>
      </c>
      <c r="I18" s="25">
        <f t="shared" si="1"/>
        <v>0</v>
      </c>
      <c r="J18" s="25">
        <f t="shared" si="3"/>
        <v>0</v>
      </c>
    </row>
    <row r="19" spans="1:10" ht="15.75" customHeight="1" x14ac:dyDescent="0.25">
      <c r="A19" s="9" t="str">
        <f t="shared" si="4"/>
        <v/>
      </c>
      <c r="B19" s="8"/>
      <c r="C19" s="24"/>
      <c r="D19" s="24"/>
      <c r="E19" s="24"/>
      <c r="F19" s="24"/>
      <c r="G19" s="24"/>
      <c r="H19" s="25">
        <f t="shared" si="0"/>
        <v>0</v>
      </c>
      <c r="I19" s="25">
        <f t="shared" si="1"/>
        <v>0</v>
      </c>
      <c r="J19" s="25">
        <f t="shared" si="3"/>
        <v>0</v>
      </c>
    </row>
    <row r="20" spans="1:10" ht="15.75" customHeight="1" x14ac:dyDescent="0.25">
      <c r="A20" s="9" t="str">
        <f t="shared" si="4"/>
        <v/>
      </c>
      <c r="B20" s="8"/>
      <c r="C20" s="24"/>
      <c r="D20" s="24"/>
      <c r="E20" s="24"/>
      <c r="F20" s="24"/>
      <c r="G20" s="24"/>
      <c r="H20" s="25">
        <f t="shared" si="0"/>
        <v>0</v>
      </c>
      <c r="I20" s="25">
        <f t="shared" si="1"/>
        <v>0</v>
      </c>
      <c r="J20" s="25">
        <f t="shared" si="3"/>
        <v>0</v>
      </c>
    </row>
    <row r="21" spans="1:10" ht="15.75" customHeight="1" x14ac:dyDescent="0.25">
      <c r="A21" s="9" t="str">
        <f t="shared" si="4"/>
        <v/>
      </c>
      <c r="B21" s="8"/>
      <c r="C21" s="24"/>
      <c r="D21" s="24"/>
      <c r="E21" s="24"/>
      <c r="F21" s="24"/>
      <c r="G21" s="24"/>
      <c r="H21" s="25">
        <f t="shared" si="0"/>
        <v>0</v>
      </c>
      <c r="I21" s="25">
        <f t="shared" si="1"/>
        <v>0</v>
      </c>
      <c r="J21" s="25">
        <f t="shared" si="3"/>
        <v>0</v>
      </c>
    </row>
    <row r="22" spans="1:10" ht="15.75" customHeight="1" x14ac:dyDescent="0.25">
      <c r="A22" s="9" t="str">
        <f t="shared" si="4"/>
        <v/>
      </c>
      <c r="B22" s="8"/>
      <c r="C22" s="24"/>
      <c r="D22" s="24"/>
      <c r="E22" s="24"/>
      <c r="F22" s="24"/>
      <c r="G22" s="24"/>
      <c r="H22" s="25">
        <f t="shared" si="0"/>
        <v>0</v>
      </c>
      <c r="I22" s="25">
        <f t="shared" si="1"/>
        <v>0</v>
      </c>
      <c r="J22" s="25">
        <f t="shared" si="3"/>
        <v>0</v>
      </c>
    </row>
    <row r="23" spans="1:10" ht="15.75" customHeight="1" x14ac:dyDescent="0.25">
      <c r="A23" s="9" t="str">
        <f t="shared" si="4"/>
        <v/>
      </c>
      <c r="B23" s="8"/>
      <c r="C23" s="24"/>
      <c r="D23" s="24"/>
      <c r="E23" s="24"/>
      <c r="F23" s="24"/>
      <c r="G23" s="24"/>
      <c r="H23" s="25">
        <f t="shared" si="0"/>
        <v>0</v>
      </c>
      <c r="I23" s="25">
        <f t="shared" si="1"/>
        <v>0</v>
      </c>
      <c r="J23" s="25">
        <f t="shared" si="3"/>
        <v>0</v>
      </c>
    </row>
    <row r="24" spans="1:10" ht="15.75" customHeight="1" x14ac:dyDescent="0.25">
      <c r="A24" s="9" t="str">
        <f t="shared" si="4"/>
        <v/>
      </c>
      <c r="B24" s="8"/>
      <c r="C24" s="24"/>
      <c r="D24" s="24"/>
      <c r="E24" s="24"/>
      <c r="F24" s="24"/>
      <c r="G24" s="24"/>
      <c r="H24" s="25">
        <f t="shared" si="0"/>
        <v>0</v>
      </c>
      <c r="I24" s="25">
        <f t="shared" si="1"/>
        <v>0</v>
      </c>
      <c r="J24" s="25">
        <f t="shared" si="3"/>
        <v>0</v>
      </c>
    </row>
    <row r="25" spans="1:10" ht="15.75" customHeight="1" x14ac:dyDescent="0.25">
      <c r="A25" s="9" t="str">
        <f t="shared" si="4"/>
        <v/>
      </c>
      <c r="B25" s="8"/>
      <c r="C25" s="24"/>
      <c r="D25" s="24"/>
      <c r="E25" s="24"/>
      <c r="F25" s="24"/>
      <c r="G25" s="24"/>
      <c r="H25" s="25">
        <f t="shared" si="0"/>
        <v>0</v>
      </c>
      <c r="I25" s="25">
        <f t="shared" si="1"/>
        <v>0</v>
      </c>
      <c r="J25" s="25">
        <f t="shared" si="3"/>
        <v>0</v>
      </c>
    </row>
    <row r="26" spans="1:10" ht="15.75" customHeight="1" x14ac:dyDescent="0.25">
      <c r="A26" s="9" t="str">
        <f t="shared" si="4"/>
        <v/>
      </c>
      <c r="B26" s="8"/>
      <c r="C26" s="24"/>
      <c r="D26" s="24"/>
      <c r="E26" s="24"/>
      <c r="F26" s="24"/>
      <c r="G26" s="24"/>
      <c r="H26" s="25">
        <f t="shared" si="0"/>
        <v>0</v>
      </c>
      <c r="I26" s="25">
        <f t="shared" si="1"/>
        <v>0</v>
      </c>
      <c r="J26" s="25">
        <f t="shared" si="3"/>
        <v>0</v>
      </c>
    </row>
    <row r="27" spans="1:10" ht="15.75" customHeight="1" x14ac:dyDescent="0.25">
      <c r="A27" s="9" t="str">
        <f t="shared" si="4"/>
        <v/>
      </c>
      <c r="B27" s="8"/>
      <c r="C27" s="24"/>
      <c r="D27" s="24"/>
      <c r="E27" s="24"/>
      <c r="F27" s="24"/>
      <c r="G27" s="24"/>
      <c r="H27" s="25">
        <f t="shared" si="0"/>
        <v>0</v>
      </c>
      <c r="I27" s="25">
        <f t="shared" si="1"/>
        <v>0</v>
      </c>
      <c r="J27" s="25">
        <f t="shared" si="3"/>
        <v>0</v>
      </c>
    </row>
    <row r="28" spans="1:10" ht="15.75" customHeight="1" x14ac:dyDescent="0.25">
      <c r="A28" s="9" t="str">
        <f t="shared" si="4"/>
        <v/>
      </c>
      <c r="B28" s="8"/>
      <c r="C28" s="24"/>
      <c r="D28" s="24"/>
      <c r="E28" s="24"/>
      <c r="F28" s="24"/>
      <c r="G28" s="24"/>
      <c r="H28" s="25">
        <f t="shared" si="0"/>
        <v>0</v>
      </c>
      <c r="I28" s="25">
        <f t="shared" si="1"/>
        <v>0</v>
      </c>
      <c r="J28" s="25">
        <f t="shared" si="3"/>
        <v>0</v>
      </c>
    </row>
    <row r="29" spans="1:10" ht="15.75" customHeight="1" x14ac:dyDescent="0.25">
      <c r="A29" s="9" t="str">
        <f t="shared" si="4"/>
        <v/>
      </c>
      <c r="B29" s="8"/>
      <c r="C29" s="24"/>
      <c r="D29" s="24"/>
      <c r="E29" s="24"/>
      <c r="F29" s="24"/>
      <c r="G29" s="24"/>
      <c r="H29" s="25">
        <f t="shared" si="0"/>
        <v>0</v>
      </c>
      <c r="I29" s="25">
        <f t="shared" si="1"/>
        <v>0</v>
      </c>
      <c r="J29" s="25">
        <f t="shared" si="3"/>
        <v>0</v>
      </c>
    </row>
    <row r="30" spans="1:10" ht="15.75" customHeight="1" x14ac:dyDescent="0.25">
      <c r="A30" s="9" t="str">
        <f t="shared" si="4"/>
        <v/>
      </c>
      <c r="B30" s="8"/>
      <c r="C30" s="24"/>
      <c r="D30" s="24"/>
      <c r="E30" s="24"/>
      <c r="F30" s="24"/>
      <c r="G30" s="24"/>
      <c r="H30" s="25">
        <f t="shared" si="0"/>
        <v>0</v>
      </c>
      <c r="I30" s="25">
        <f t="shared" si="1"/>
        <v>0</v>
      </c>
      <c r="J30" s="25">
        <f t="shared" si="3"/>
        <v>0</v>
      </c>
    </row>
    <row r="31" spans="1:10" ht="15.75" customHeight="1" x14ac:dyDescent="0.25">
      <c r="A31" s="9" t="str">
        <f t="shared" si="4"/>
        <v/>
      </c>
      <c r="B31" s="8"/>
      <c r="C31" s="24"/>
      <c r="D31" s="24"/>
      <c r="E31" s="24"/>
      <c r="F31" s="24"/>
      <c r="G31" s="24"/>
      <c r="H31" s="25">
        <f t="shared" si="0"/>
        <v>0</v>
      </c>
      <c r="I31" s="25">
        <f t="shared" si="1"/>
        <v>0</v>
      </c>
      <c r="J31" s="25">
        <f t="shared" si="3"/>
        <v>0</v>
      </c>
    </row>
    <row r="32" spans="1:10" ht="15.75" customHeight="1" x14ac:dyDescent="0.25">
      <c r="A32" s="9" t="str">
        <f t="shared" si="4"/>
        <v/>
      </c>
      <c r="B32" s="8"/>
      <c r="C32" s="24"/>
      <c r="D32" s="24"/>
      <c r="E32" s="24"/>
      <c r="F32" s="24"/>
      <c r="G32" s="24"/>
      <c r="H32" s="25">
        <f t="shared" si="0"/>
        <v>0</v>
      </c>
      <c r="I32" s="25">
        <f t="shared" si="1"/>
        <v>0</v>
      </c>
      <c r="J32" s="25">
        <f t="shared" si="3"/>
        <v>0</v>
      </c>
    </row>
    <row r="33" spans="1:10" ht="15.75" customHeight="1" x14ac:dyDescent="0.25">
      <c r="A33" s="9" t="str">
        <f t="shared" si="4"/>
        <v/>
      </c>
      <c r="B33" s="8"/>
      <c r="C33" s="24"/>
      <c r="D33" s="24"/>
      <c r="E33" s="24"/>
      <c r="F33" s="24"/>
      <c r="G33" s="24"/>
      <c r="H33" s="25">
        <f t="shared" si="0"/>
        <v>0</v>
      </c>
      <c r="I33" s="25">
        <f t="shared" si="1"/>
        <v>0</v>
      </c>
      <c r="J33" s="25">
        <f t="shared" si="3"/>
        <v>0</v>
      </c>
    </row>
    <row r="34" spans="1:10" ht="15.75" customHeight="1" x14ac:dyDescent="0.25">
      <c r="A34" s="9" t="str">
        <f t="shared" si="4"/>
        <v/>
      </c>
      <c r="B34" s="8"/>
      <c r="C34" s="24"/>
      <c r="D34" s="24"/>
      <c r="E34" s="24"/>
      <c r="F34" s="24"/>
      <c r="G34" s="24"/>
      <c r="H34" s="25">
        <f t="shared" si="0"/>
        <v>0</v>
      </c>
      <c r="I34" s="25">
        <f t="shared" si="1"/>
        <v>0</v>
      </c>
      <c r="J34" s="25">
        <f t="shared" si="3"/>
        <v>0</v>
      </c>
    </row>
    <row r="35" spans="1:10" ht="15.75" customHeight="1" x14ac:dyDescent="0.25">
      <c r="A35" s="9" t="str">
        <f t="shared" si="4"/>
        <v/>
      </c>
      <c r="B35" s="8"/>
      <c r="C35" s="24"/>
      <c r="D35" s="24"/>
      <c r="E35" s="24"/>
      <c r="F35" s="24"/>
      <c r="G35" s="24"/>
      <c r="H35" s="25">
        <f t="shared" si="0"/>
        <v>0</v>
      </c>
      <c r="I35" s="25">
        <f t="shared" si="1"/>
        <v>0</v>
      </c>
      <c r="J35" s="25">
        <f t="shared" si="3"/>
        <v>0</v>
      </c>
    </row>
    <row r="36" spans="1:10" ht="15.75" customHeight="1" x14ac:dyDescent="0.25">
      <c r="A36" s="9" t="str">
        <f t="shared" si="4"/>
        <v/>
      </c>
      <c r="B36" s="8"/>
      <c r="C36" s="24"/>
      <c r="D36" s="24"/>
      <c r="E36" s="24"/>
      <c r="F36" s="24"/>
      <c r="G36" s="24"/>
      <c r="H36" s="25">
        <f t="shared" si="0"/>
        <v>0</v>
      </c>
      <c r="I36" s="25">
        <f t="shared" si="1"/>
        <v>0</v>
      </c>
      <c r="J36" s="25">
        <f t="shared" si="3"/>
        <v>0</v>
      </c>
    </row>
    <row r="37" spans="1:10" ht="15.75" customHeight="1" x14ac:dyDescent="0.25">
      <c r="A37" s="9" t="str">
        <f t="shared" si="4"/>
        <v/>
      </c>
      <c r="B37" s="8"/>
      <c r="C37" s="24"/>
      <c r="D37" s="24"/>
      <c r="E37" s="24"/>
      <c r="F37" s="24"/>
      <c r="G37" s="24"/>
      <c r="H37" s="25">
        <f t="shared" si="0"/>
        <v>0</v>
      </c>
      <c r="I37" s="25">
        <f t="shared" si="1"/>
        <v>0</v>
      </c>
      <c r="J37" s="25">
        <f t="shared" si="3"/>
        <v>0</v>
      </c>
    </row>
    <row r="38" spans="1:10" ht="15.75" customHeight="1" x14ac:dyDescent="0.25">
      <c r="A38" s="9" t="str">
        <f t="shared" si="4"/>
        <v/>
      </c>
      <c r="B38" s="8"/>
      <c r="C38" s="24"/>
      <c r="D38" s="24"/>
      <c r="E38" s="24"/>
      <c r="F38" s="24"/>
      <c r="G38" s="24"/>
      <c r="H38" s="25">
        <f t="shared" si="0"/>
        <v>0</v>
      </c>
      <c r="I38" s="25">
        <f t="shared" si="1"/>
        <v>0</v>
      </c>
      <c r="J38" s="25">
        <f t="shared" si="3"/>
        <v>0</v>
      </c>
    </row>
    <row r="39" spans="1:10" ht="15.75" customHeight="1" x14ac:dyDescent="0.25">
      <c r="A39" s="9" t="str">
        <f t="shared" si="4"/>
        <v/>
      </c>
      <c r="B39" s="8"/>
      <c r="C39" s="24"/>
      <c r="D39" s="24"/>
      <c r="E39" s="24"/>
      <c r="F39" s="24"/>
      <c r="G39" s="24"/>
      <c r="H39" s="25">
        <f t="shared" si="0"/>
        <v>0</v>
      </c>
      <c r="I39" s="25">
        <f t="shared" si="1"/>
        <v>0</v>
      </c>
      <c r="J39" s="25">
        <f t="shared" si="3"/>
        <v>0</v>
      </c>
    </row>
    <row r="40" spans="1:10" ht="15.75" customHeight="1" x14ac:dyDescent="0.25">
      <c r="A40" s="9" t="str">
        <f t="shared" si="4"/>
        <v/>
      </c>
      <c r="B40" s="8"/>
      <c r="C40" s="24"/>
      <c r="D40" s="24"/>
      <c r="E40" s="24"/>
      <c r="F40" s="24"/>
      <c r="G40" s="24"/>
      <c r="H40" s="25">
        <f t="shared" si="0"/>
        <v>0</v>
      </c>
      <c r="I40" s="25">
        <f t="shared" si="1"/>
        <v>0</v>
      </c>
      <c r="J40" s="25">
        <f t="shared" si="3"/>
        <v>0</v>
      </c>
    </row>
  </sheetData>
  <conditionalFormatting sqref="B16:J40 H2:J15">
    <cfRule type="expression" dxfId="1" priority="10">
      <formula>$A2=""</formula>
    </cfRule>
  </conditionalFormatting>
  <conditionalFormatting sqref="B2:G15">
    <cfRule type="expression" dxfId="0" priority="1">
      <formula>$A2=""</formula>
    </cfRule>
  </conditionalFormatting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27"/>
  <sheetViews>
    <sheetView zoomScale="60" zoomScaleNormal="60" workbookViewId="0">
      <selection activeCell="K21" sqref="K21"/>
    </sheetView>
  </sheetViews>
  <sheetFormatPr defaultColWidth="14.36328125" defaultRowHeight="15.75" customHeight="1" x14ac:dyDescent="0.25"/>
  <cols>
    <col min="1" max="1" width="31.36328125" customWidth="1"/>
    <col min="2" max="7" width="13" customWidth="1"/>
    <col min="8" max="8" width="42.81640625" customWidth="1"/>
  </cols>
  <sheetData>
    <row r="1" spans="1:8" ht="27.75" customHeight="1" x14ac:dyDescent="0.3">
      <c r="A1" s="11" t="str">
        <f>"Percentage of deaths in baseline year ("&amp;start_year&amp;") attributable to cause"</f>
        <v>Percentage of deaths in baseline year (2017) attributable to cause</v>
      </c>
      <c r="B1" s="26" t="s">
        <v>1</v>
      </c>
      <c r="C1" s="26" t="s">
        <v>2</v>
      </c>
      <c r="D1" s="26" t="s">
        <v>3</v>
      </c>
      <c r="E1" s="26" t="s">
        <v>4</v>
      </c>
      <c r="F1" s="26" t="s">
        <v>5</v>
      </c>
      <c r="G1" s="26" t="s">
        <v>32</v>
      </c>
      <c r="H1" s="86" t="s">
        <v>204</v>
      </c>
    </row>
    <row r="2" spans="1:8" ht="15.75" customHeight="1" x14ac:dyDescent="0.25">
      <c r="A2" s="27" t="s">
        <v>73</v>
      </c>
      <c r="B2" s="82">
        <v>4.4999999999999997E-3</v>
      </c>
      <c r="C2" s="28">
        <v>0</v>
      </c>
      <c r="D2" s="28">
        <v>0</v>
      </c>
      <c r="E2" s="28">
        <v>0</v>
      </c>
      <c r="F2" s="28">
        <v>0</v>
      </c>
      <c r="G2" s="28">
        <v>0</v>
      </c>
      <c r="H2" s="149" t="s">
        <v>206</v>
      </c>
    </row>
    <row r="3" spans="1:8" ht="15.75" customHeight="1" x14ac:dyDescent="0.25">
      <c r="A3" s="27" t="s">
        <v>7</v>
      </c>
      <c r="B3" s="82">
        <v>0.1603</v>
      </c>
      <c r="C3" s="28">
        <v>0</v>
      </c>
      <c r="D3" s="28">
        <v>0</v>
      </c>
      <c r="E3" s="28">
        <v>0</v>
      </c>
      <c r="F3" s="28">
        <v>0</v>
      </c>
      <c r="G3" s="28">
        <v>0</v>
      </c>
      <c r="H3" s="150"/>
    </row>
    <row r="4" spans="1:8" ht="15.75" customHeight="1" x14ac:dyDescent="0.25">
      <c r="A4" s="27" t="s">
        <v>8</v>
      </c>
      <c r="B4" s="82">
        <v>6.3500000000000001E-2</v>
      </c>
      <c r="C4" s="28">
        <v>0</v>
      </c>
      <c r="D4" s="28">
        <v>0</v>
      </c>
      <c r="E4" s="28">
        <v>0</v>
      </c>
      <c r="F4" s="28">
        <v>0</v>
      </c>
      <c r="G4" s="28">
        <v>0</v>
      </c>
      <c r="H4" s="150"/>
    </row>
    <row r="5" spans="1:8" ht="15.75" customHeight="1" x14ac:dyDescent="0.25">
      <c r="A5" s="27" t="s">
        <v>10</v>
      </c>
      <c r="B5" s="82">
        <v>0.28639999999999999</v>
      </c>
      <c r="C5" s="28">
        <v>0</v>
      </c>
      <c r="D5" s="28">
        <v>0</v>
      </c>
      <c r="E5" s="28">
        <v>0</v>
      </c>
      <c r="F5" s="28">
        <v>0</v>
      </c>
      <c r="G5" s="28">
        <v>0</v>
      </c>
      <c r="H5" s="150"/>
    </row>
    <row r="6" spans="1:8" ht="15.75" customHeight="1" x14ac:dyDescent="0.25">
      <c r="A6" s="27" t="s">
        <v>13</v>
      </c>
      <c r="B6" s="82">
        <v>0.34749999999999998</v>
      </c>
      <c r="C6" s="28">
        <v>0</v>
      </c>
      <c r="D6" s="28">
        <v>0</v>
      </c>
      <c r="E6" s="28">
        <v>0</v>
      </c>
      <c r="F6" s="28">
        <v>0</v>
      </c>
      <c r="G6" s="28">
        <v>0</v>
      </c>
      <c r="H6" s="150"/>
    </row>
    <row r="7" spans="1:8" ht="15.75" customHeight="1" x14ac:dyDescent="0.25">
      <c r="A7" s="27" t="s">
        <v>14</v>
      </c>
      <c r="B7" s="82">
        <v>1.12E-2</v>
      </c>
      <c r="C7" s="28">
        <v>0</v>
      </c>
      <c r="D7" s="28">
        <v>0</v>
      </c>
      <c r="E7" s="28">
        <v>0</v>
      </c>
      <c r="F7" s="28">
        <v>0</v>
      </c>
      <c r="G7" s="28">
        <v>0</v>
      </c>
      <c r="H7" s="150"/>
    </row>
    <row r="8" spans="1:8" ht="15.75" customHeight="1" x14ac:dyDescent="0.25">
      <c r="A8" s="27" t="s">
        <v>27</v>
      </c>
      <c r="B8" s="82">
        <v>7.1300000000000002E-2</v>
      </c>
      <c r="C8" s="28">
        <v>0</v>
      </c>
      <c r="D8" s="28">
        <v>0</v>
      </c>
      <c r="E8" s="28">
        <v>0</v>
      </c>
      <c r="F8" s="28">
        <v>0</v>
      </c>
      <c r="G8" s="28">
        <v>0</v>
      </c>
      <c r="H8" s="150"/>
    </row>
    <row r="9" spans="1:8" ht="15.75" customHeight="1" x14ac:dyDescent="0.25">
      <c r="A9" s="27" t="s">
        <v>15</v>
      </c>
      <c r="B9" s="82">
        <v>5.5300000000000002E-2</v>
      </c>
      <c r="C9" s="28">
        <v>0</v>
      </c>
      <c r="D9" s="28">
        <v>0</v>
      </c>
      <c r="E9" s="28">
        <v>0</v>
      </c>
      <c r="F9" s="28">
        <v>0</v>
      </c>
      <c r="G9" s="28">
        <v>0</v>
      </c>
      <c r="H9" s="150"/>
    </row>
    <row r="10" spans="1:8" ht="15.75" customHeight="1" x14ac:dyDescent="0.25">
      <c r="A10" s="27" t="s">
        <v>71</v>
      </c>
      <c r="B10" s="28">
        <v>0</v>
      </c>
      <c r="C10" s="82">
        <v>0.15160000000000001</v>
      </c>
      <c r="D10" s="82">
        <v>0.15160000000000001</v>
      </c>
      <c r="E10" s="82">
        <v>0.15160000000000001</v>
      </c>
      <c r="F10" s="82">
        <v>0.15160000000000001</v>
      </c>
      <c r="G10" s="28">
        <v>0</v>
      </c>
      <c r="H10" s="150"/>
    </row>
    <row r="11" spans="1:8" ht="15.75" customHeight="1" x14ac:dyDescent="0.25">
      <c r="A11" s="27" t="s">
        <v>16</v>
      </c>
      <c r="B11" s="28">
        <v>0</v>
      </c>
      <c r="C11" s="82">
        <v>0.19289999999999999</v>
      </c>
      <c r="D11" s="82">
        <v>0.19289999999999999</v>
      </c>
      <c r="E11" s="82">
        <v>0.19289999999999999</v>
      </c>
      <c r="F11" s="82">
        <v>0.19289999999999999</v>
      </c>
      <c r="G11" s="28">
        <v>0</v>
      </c>
      <c r="H11" s="150"/>
    </row>
    <row r="12" spans="1:8" ht="15.75" customHeight="1" x14ac:dyDescent="0.25">
      <c r="A12" s="27" t="s">
        <v>17</v>
      </c>
      <c r="B12" s="28">
        <v>0</v>
      </c>
      <c r="C12" s="82">
        <v>3.7999999999999999E-2</v>
      </c>
      <c r="D12" s="82">
        <v>3.7999999999999999E-2</v>
      </c>
      <c r="E12" s="82">
        <v>3.7999999999999999E-2</v>
      </c>
      <c r="F12" s="82">
        <v>3.7999999999999999E-2</v>
      </c>
      <c r="G12" s="28">
        <v>0</v>
      </c>
      <c r="H12" s="150"/>
    </row>
    <row r="13" spans="1:8" ht="15.75" customHeight="1" x14ac:dyDescent="0.25">
      <c r="A13" s="27" t="s">
        <v>18</v>
      </c>
      <c r="B13" s="28">
        <v>0</v>
      </c>
      <c r="C13" s="82">
        <v>4.5499999999999999E-2</v>
      </c>
      <c r="D13" s="82">
        <v>4.5499999999999999E-2</v>
      </c>
      <c r="E13" s="82">
        <v>4.5499999999999999E-2</v>
      </c>
      <c r="F13" s="82">
        <v>4.5499999999999999E-2</v>
      </c>
      <c r="G13" s="28">
        <v>0</v>
      </c>
      <c r="H13" s="150"/>
    </row>
    <row r="14" spans="1:8" ht="15.75" customHeight="1" x14ac:dyDescent="0.25">
      <c r="A14" s="27" t="s">
        <v>19</v>
      </c>
      <c r="B14" s="28">
        <v>0</v>
      </c>
      <c r="C14" s="82">
        <v>0.1739</v>
      </c>
      <c r="D14" s="82">
        <v>0.1739</v>
      </c>
      <c r="E14" s="82">
        <v>0.1739</v>
      </c>
      <c r="F14" s="82">
        <v>0.1739</v>
      </c>
      <c r="G14" s="28">
        <v>0</v>
      </c>
      <c r="H14" s="150"/>
    </row>
    <row r="15" spans="1:8" ht="15.75" customHeight="1" x14ac:dyDescent="0.25">
      <c r="A15" s="27" t="s">
        <v>20</v>
      </c>
      <c r="B15" s="28">
        <v>0</v>
      </c>
      <c r="C15" s="82">
        <v>1.32E-2</v>
      </c>
      <c r="D15" s="82">
        <v>1.32E-2</v>
      </c>
      <c r="E15" s="82">
        <v>1.32E-2</v>
      </c>
      <c r="F15" s="82">
        <v>1.32E-2</v>
      </c>
      <c r="G15" s="28">
        <v>0</v>
      </c>
      <c r="H15" s="150"/>
    </row>
    <row r="16" spans="1:8" ht="15.75" customHeight="1" x14ac:dyDescent="0.25">
      <c r="A16" s="27" t="s">
        <v>21</v>
      </c>
      <c r="B16" s="28">
        <v>0</v>
      </c>
      <c r="C16" s="82">
        <v>7.7000000000000002E-3</v>
      </c>
      <c r="D16" s="82">
        <v>7.7000000000000002E-3</v>
      </c>
      <c r="E16" s="82">
        <v>7.7000000000000002E-3</v>
      </c>
      <c r="F16" s="82">
        <v>7.7000000000000002E-3</v>
      </c>
      <c r="G16" s="28">
        <v>0</v>
      </c>
      <c r="H16" s="150"/>
    </row>
    <row r="17" spans="1:8" ht="15.75" customHeight="1" x14ac:dyDescent="0.25">
      <c r="A17" s="27" t="s">
        <v>22</v>
      </c>
      <c r="B17" s="28">
        <v>0</v>
      </c>
      <c r="C17" s="82">
        <v>7.8600000000000003E-2</v>
      </c>
      <c r="D17" s="82">
        <v>7.8600000000000003E-2</v>
      </c>
      <c r="E17" s="82">
        <v>7.8600000000000003E-2</v>
      </c>
      <c r="F17" s="82">
        <v>7.8600000000000003E-2</v>
      </c>
      <c r="G17" s="28">
        <v>0</v>
      </c>
      <c r="H17" s="150"/>
    </row>
    <row r="18" spans="1:8" ht="15.75" customHeight="1" x14ac:dyDescent="0.25">
      <c r="A18" s="27" t="s">
        <v>23</v>
      </c>
      <c r="B18" s="28">
        <v>0</v>
      </c>
      <c r="C18" s="82">
        <v>0.29859999999999998</v>
      </c>
      <c r="D18" s="82">
        <v>0.29859999999999998</v>
      </c>
      <c r="E18" s="82">
        <v>0.29859999999999998</v>
      </c>
      <c r="F18" s="82">
        <v>0.29859999999999998</v>
      </c>
      <c r="G18" s="28">
        <v>0</v>
      </c>
      <c r="H18" s="150"/>
    </row>
    <row r="19" spans="1:8" ht="15.75" customHeight="1" x14ac:dyDescent="0.25">
      <c r="A19" s="27" t="s">
        <v>38</v>
      </c>
      <c r="B19" s="28">
        <v>0</v>
      </c>
      <c r="C19" s="28">
        <v>0</v>
      </c>
      <c r="D19" s="28">
        <v>0</v>
      </c>
      <c r="E19" s="28">
        <v>0</v>
      </c>
      <c r="F19" s="28">
        <v>0</v>
      </c>
      <c r="G19" s="83">
        <v>8.8900000000000007E-2</v>
      </c>
      <c r="H19" s="150"/>
    </row>
    <row r="20" spans="1:8" ht="15.75" customHeight="1" x14ac:dyDescent="0.25">
      <c r="A20" s="27" t="s">
        <v>39</v>
      </c>
      <c r="B20" s="28">
        <v>0</v>
      </c>
      <c r="C20" s="28">
        <v>0</v>
      </c>
      <c r="D20" s="28">
        <v>0</v>
      </c>
      <c r="E20" s="28">
        <v>0</v>
      </c>
      <c r="F20" s="28">
        <v>0</v>
      </c>
      <c r="G20" s="83">
        <v>8.6999999999999994E-3</v>
      </c>
      <c r="H20" s="150"/>
    </row>
    <row r="21" spans="1:8" ht="15.75" customHeight="1" x14ac:dyDescent="0.25">
      <c r="A21" s="27" t="s">
        <v>40</v>
      </c>
      <c r="B21" s="28">
        <v>0</v>
      </c>
      <c r="C21" s="28">
        <v>0</v>
      </c>
      <c r="D21" s="28">
        <v>0</v>
      </c>
      <c r="E21" s="28">
        <v>0</v>
      </c>
      <c r="F21" s="28">
        <v>0</v>
      </c>
      <c r="G21" s="83">
        <v>0.1575</v>
      </c>
      <c r="H21" s="150"/>
    </row>
    <row r="22" spans="1:8" ht="15.75" customHeight="1" x14ac:dyDescent="0.25">
      <c r="A22" s="27" t="s">
        <v>41</v>
      </c>
      <c r="B22" s="28">
        <v>0</v>
      </c>
      <c r="C22" s="28">
        <v>0</v>
      </c>
      <c r="D22" s="28">
        <v>0</v>
      </c>
      <c r="E22" s="28">
        <v>0</v>
      </c>
      <c r="F22" s="28">
        <v>0</v>
      </c>
      <c r="G22" s="83">
        <v>0.16980000000000001</v>
      </c>
      <c r="H22" s="150"/>
    </row>
    <row r="23" spans="1:8" ht="15.75" customHeight="1" x14ac:dyDescent="0.25">
      <c r="A23" s="27" t="s">
        <v>42</v>
      </c>
      <c r="B23" s="28">
        <v>0</v>
      </c>
      <c r="C23" s="28">
        <v>0</v>
      </c>
      <c r="D23" s="28">
        <v>0</v>
      </c>
      <c r="E23" s="28">
        <v>0</v>
      </c>
      <c r="F23" s="28">
        <v>0</v>
      </c>
      <c r="G23" s="83">
        <v>0.10489999999999999</v>
      </c>
      <c r="H23" s="150"/>
    </row>
    <row r="24" spans="1:8" ht="15.75" customHeight="1" x14ac:dyDescent="0.25">
      <c r="A24" s="27" t="s">
        <v>43</v>
      </c>
      <c r="B24" s="28">
        <v>0</v>
      </c>
      <c r="C24" s="28">
        <v>0</v>
      </c>
      <c r="D24" s="28">
        <v>0</v>
      </c>
      <c r="E24" s="28">
        <v>0</v>
      </c>
      <c r="F24" s="28">
        <v>0</v>
      </c>
      <c r="G24" s="83">
        <v>0.1087</v>
      </c>
      <c r="H24" s="150"/>
    </row>
    <row r="25" spans="1:8" ht="15.75" customHeight="1" x14ac:dyDescent="0.25">
      <c r="A25" s="27" t="s">
        <v>44</v>
      </c>
      <c r="B25" s="28">
        <v>0</v>
      </c>
      <c r="C25" s="28">
        <v>0</v>
      </c>
      <c r="D25" s="28">
        <v>0</v>
      </c>
      <c r="E25" s="28">
        <v>0</v>
      </c>
      <c r="F25" s="28">
        <v>0</v>
      </c>
      <c r="G25" s="83">
        <v>1.8800000000000001E-2</v>
      </c>
      <c r="H25" s="150"/>
    </row>
    <row r="26" spans="1:8" ht="15.75" customHeight="1" x14ac:dyDescent="0.25">
      <c r="A26" s="27" t="s">
        <v>45</v>
      </c>
      <c r="B26" s="28">
        <v>0</v>
      </c>
      <c r="C26" s="28">
        <v>0</v>
      </c>
      <c r="D26" s="28">
        <v>0</v>
      </c>
      <c r="E26" s="28">
        <v>0</v>
      </c>
      <c r="F26" s="28">
        <v>0</v>
      </c>
      <c r="G26" s="83">
        <v>8.5800000000000001E-2</v>
      </c>
      <c r="H26" s="150"/>
    </row>
    <row r="27" spans="1:8" ht="15.75" customHeight="1" x14ac:dyDescent="0.25">
      <c r="A27" s="27" t="s">
        <v>46</v>
      </c>
      <c r="B27" s="28">
        <v>0</v>
      </c>
      <c r="C27" s="28">
        <v>0</v>
      </c>
      <c r="D27" s="28">
        <v>0</v>
      </c>
      <c r="E27" s="28">
        <v>0</v>
      </c>
      <c r="F27" s="28">
        <v>0</v>
      </c>
      <c r="G27" s="83">
        <v>0.25690000000000002</v>
      </c>
      <c r="H27" s="150"/>
    </row>
  </sheetData>
  <mergeCells count="1">
    <mergeCell ref="H2:H27"/>
  </mergeCells>
  <phoneticPr fontId="9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70"/>
  <sheetViews>
    <sheetView topLeftCell="B1" zoomScale="93" zoomScaleNormal="60" workbookViewId="0">
      <selection activeCell="D3" sqref="D3"/>
    </sheetView>
  </sheetViews>
  <sheetFormatPr defaultColWidth="14.36328125" defaultRowHeight="15.75" customHeight="1" x14ac:dyDescent="0.25"/>
  <cols>
    <col min="1" max="1" width="31.36328125" customWidth="1"/>
    <col min="2" max="2" width="24" customWidth="1"/>
    <col min="8" max="8" width="16.08984375" bestFit="1" customWidth="1"/>
  </cols>
  <sheetData>
    <row r="1" spans="1:15" ht="36" customHeight="1" x14ac:dyDescent="0.3">
      <c r="A1" s="31" t="str">
        <f>"Percentage of population in each category in baseline year ("&amp;start_year&amp;")"</f>
        <v>Percentage of population in each category in baseline year (2017)</v>
      </c>
      <c r="B1" s="1" t="s">
        <v>6</v>
      </c>
      <c r="C1" s="19" t="s">
        <v>1</v>
      </c>
      <c r="D1" s="19" t="s">
        <v>2</v>
      </c>
      <c r="E1" s="19" t="s">
        <v>3</v>
      </c>
      <c r="F1" s="19" t="s">
        <v>4</v>
      </c>
      <c r="G1" s="19" t="s">
        <v>5</v>
      </c>
      <c r="H1" s="86" t="s">
        <v>204</v>
      </c>
    </row>
    <row r="2" spans="1:15" ht="15.75" customHeight="1" x14ac:dyDescent="0.25">
      <c r="A2" s="6" t="s">
        <v>116</v>
      </c>
      <c r="B2" s="14" t="s">
        <v>118</v>
      </c>
      <c r="C2" s="130">
        <v>0.71207710000000002</v>
      </c>
      <c r="D2" s="130">
        <v>0.71207710000000002</v>
      </c>
      <c r="E2" s="130">
        <v>0.74443610000000005</v>
      </c>
      <c r="F2" s="130">
        <v>0.2496526</v>
      </c>
      <c r="G2" s="130">
        <v>0.25465359999999998</v>
      </c>
      <c r="H2" s="149" t="s">
        <v>216</v>
      </c>
    </row>
    <row r="3" spans="1:15" ht="15.75" customHeight="1" x14ac:dyDescent="0.25">
      <c r="A3" s="5"/>
      <c r="B3" s="14" t="s">
        <v>119</v>
      </c>
      <c r="C3" s="130">
        <v>4.4070900000000003E-2</v>
      </c>
      <c r="D3" s="130">
        <v>4.4070900000000003E-2</v>
      </c>
      <c r="E3" s="130">
        <v>0.16228290000000001</v>
      </c>
      <c r="F3" s="130">
        <v>0.2867673</v>
      </c>
      <c r="G3" s="130">
        <v>0.25534180000000001</v>
      </c>
      <c r="H3" s="149"/>
    </row>
    <row r="4" spans="1:15" ht="15.75" customHeight="1" x14ac:dyDescent="0.25">
      <c r="A4" s="5"/>
      <c r="B4" s="14" t="s">
        <v>117</v>
      </c>
      <c r="C4" s="130">
        <v>9.0076600000000007E-2</v>
      </c>
      <c r="D4" s="130">
        <v>9.0076600000000007E-2</v>
      </c>
      <c r="E4" s="130">
        <v>8.2347199999999995E-2</v>
      </c>
      <c r="F4" s="130">
        <v>0.35945739999999998</v>
      </c>
      <c r="G4" s="130">
        <v>0.30487579999999997</v>
      </c>
      <c r="H4" s="149"/>
    </row>
    <row r="5" spans="1:15" ht="15.75" customHeight="1" x14ac:dyDescent="0.25">
      <c r="A5" s="5"/>
      <c r="B5" s="14" t="s">
        <v>120</v>
      </c>
      <c r="C5" s="130">
        <v>0.15377540000000001</v>
      </c>
      <c r="D5" s="130">
        <v>0.15377540000000001</v>
      </c>
      <c r="E5" s="130">
        <v>1.0933699999999999E-2</v>
      </c>
      <c r="F5" s="130">
        <v>0.1041228</v>
      </c>
      <c r="G5" s="130">
        <v>0.18512880000000001</v>
      </c>
      <c r="H5" s="149"/>
      <c r="I5" s="104"/>
    </row>
    <row r="6" spans="1:15" ht="15.75" customHeight="1" x14ac:dyDescent="0.25">
      <c r="B6" s="17"/>
      <c r="C6" s="33">
        <f>SUM(C2:C5)</f>
        <v>1</v>
      </c>
      <c r="D6" s="33"/>
      <c r="E6" s="33"/>
      <c r="F6" s="33"/>
      <c r="G6" s="33"/>
    </row>
    <row r="7" spans="1:15" ht="15.75" customHeight="1" x14ac:dyDescent="0.25">
      <c r="B7" s="17"/>
      <c r="C7" s="33"/>
      <c r="D7" s="33"/>
      <c r="E7" s="33"/>
      <c r="F7" s="33"/>
      <c r="G7" s="33"/>
    </row>
    <row r="8" spans="1:15" ht="15.75" customHeight="1" x14ac:dyDescent="0.25">
      <c r="A8" s="3" t="s">
        <v>115</v>
      </c>
      <c r="B8" s="9" t="s">
        <v>121</v>
      </c>
      <c r="C8" s="130">
        <v>0.87669949999999996</v>
      </c>
      <c r="D8" s="130">
        <v>0.87669949999999996</v>
      </c>
      <c r="E8" s="130">
        <v>0.75957989999999997</v>
      </c>
      <c r="F8" s="130">
        <v>0.53997110000000004</v>
      </c>
      <c r="G8" s="130">
        <v>0.82182310000000003</v>
      </c>
      <c r="H8" s="149" t="s">
        <v>216</v>
      </c>
    </row>
    <row r="9" spans="1:15" ht="15.75" customHeight="1" x14ac:dyDescent="0.25">
      <c r="B9" s="9" t="s">
        <v>122</v>
      </c>
      <c r="C9" s="130">
        <v>5.70441E-2</v>
      </c>
      <c r="D9" s="130">
        <v>5.70441E-2</v>
      </c>
      <c r="E9" s="130">
        <v>0.16160279999999999</v>
      </c>
      <c r="F9" s="130">
        <v>0.44257239999999998</v>
      </c>
      <c r="G9" s="130">
        <v>0.10509400000000001</v>
      </c>
      <c r="H9" s="149"/>
    </row>
    <row r="10" spans="1:15" ht="15.75" customHeight="1" x14ac:dyDescent="0.25">
      <c r="B10" s="9" t="s">
        <v>123</v>
      </c>
      <c r="C10" s="130">
        <v>5.2884999999999998E-3</v>
      </c>
      <c r="D10" s="130">
        <v>5.2884999999999998E-3</v>
      </c>
      <c r="E10" s="130">
        <v>7.8817300000000007E-2</v>
      </c>
      <c r="F10" s="130">
        <v>1.74565E-2</v>
      </c>
      <c r="G10" s="130">
        <v>4.76462E-2</v>
      </c>
      <c r="H10" s="149"/>
    </row>
    <row r="11" spans="1:15" ht="15.75" customHeight="1" x14ac:dyDescent="0.25">
      <c r="B11" s="9" t="s">
        <v>124</v>
      </c>
      <c r="C11" s="130">
        <v>6.0967899999999998E-2</v>
      </c>
      <c r="D11" s="130">
        <v>6.0967899999999998E-2</v>
      </c>
      <c r="E11" s="130">
        <v>0</v>
      </c>
      <c r="F11" s="130">
        <v>0</v>
      </c>
      <c r="G11" s="130">
        <v>2.54367E-2</v>
      </c>
      <c r="H11" s="149"/>
    </row>
    <row r="12" spans="1:15" ht="15.75" customHeight="1" x14ac:dyDescent="0.25">
      <c r="C12" s="10"/>
      <c r="D12" s="10"/>
      <c r="E12" s="10"/>
      <c r="F12" s="10"/>
      <c r="G12" s="10"/>
      <c r="I12" s="18"/>
      <c r="J12" s="18"/>
      <c r="K12" s="18"/>
      <c r="L12" s="18"/>
      <c r="M12" s="18"/>
      <c r="N12" s="18"/>
      <c r="O12" s="18"/>
    </row>
    <row r="13" spans="1:15" ht="27" customHeight="1" x14ac:dyDescent="0.25">
      <c r="A13" s="15" t="s">
        <v>70</v>
      </c>
      <c r="C13" s="49" t="s">
        <v>1</v>
      </c>
      <c r="D13" s="49" t="s">
        <v>2</v>
      </c>
      <c r="E13" s="49" t="s">
        <v>3</v>
      </c>
      <c r="F13" s="49" t="s">
        <v>4</v>
      </c>
      <c r="G13" s="49" t="s">
        <v>5</v>
      </c>
      <c r="H13" s="87" t="s">
        <v>53</v>
      </c>
      <c r="I13" s="87" t="s">
        <v>54</v>
      </c>
      <c r="J13" s="87" t="s">
        <v>55</v>
      </c>
      <c r="K13" s="87" t="s">
        <v>56</v>
      </c>
      <c r="L13" s="87" t="s">
        <v>49</v>
      </c>
      <c r="M13" s="87" t="s">
        <v>50</v>
      </c>
      <c r="N13" s="87" t="s">
        <v>51</v>
      </c>
      <c r="O13" s="87" t="s">
        <v>52</v>
      </c>
    </row>
    <row r="14" spans="1:15" ht="15.75" customHeight="1" x14ac:dyDescent="0.25">
      <c r="B14" s="19" t="s">
        <v>132</v>
      </c>
      <c r="C14" s="137"/>
      <c r="D14" s="137"/>
      <c r="E14" s="130">
        <v>0.80879999999999996</v>
      </c>
      <c r="F14" s="130">
        <v>0.71779999999999999</v>
      </c>
      <c r="G14" s="130">
        <v>0.78349999999999997</v>
      </c>
      <c r="H14" s="138">
        <v>0.77480000000000004</v>
      </c>
      <c r="I14" s="138">
        <v>0.55230000000000001</v>
      </c>
      <c r="J14" s="138">
        <v>0.81340000000000001</v>
      </c>
      <c r="K14" s="138">
        <v>0</v>
      </c>
      <c r="L14" s="138">
        <v>0.71299999999999997</v>
      </c>
      <c r="M14" s="138">
        <v>0.36870000000000003</v>
      </c>
      <c r="N14" s="138">
        <v>0.46439999999999998</v>
      </c>
      <c r="O14" s="138">
        <v>0.62180000000000002</v>
      </c>
    </row>
    <row r="15" spans="1:15" ht="15.75" customHeight="1" x14ac:dyDescent="0.25">
      <c r="B15" s="19" t="s">
        <v>68</v>
      </c>
      <c r="C15" s="37">
        <f t="shared" ref="C15:O15" si="0">iron_deficiency_anaemia*C14</f>
        <v>0</v>
      </c>
      <c r="D15" s="37">
        <f t="shared" si="0"/>
        <v>0</v>
      </c>
      <c r="E15" s="37">
        <f t="shared" si="0"/>
        <v>0.35198975999999998</v>
      </c>
      <c r="F15" s="37">
        <f t="shared" si="0"/>
        <v>0.31238655999999998</v>
      </c>
      <c r="G15" s="37">
        <f t="shared" si="0"/>
        <v>0.34097919999999998</v>
      </c>
      <c r="H15" s="37">
        <f t="shared" si="0"/>
        <v>0.33719295999999999</v>
      </c>
      <c r="I15" s="37">
        <f t="shared" si="0"/>
        <v>0.24036095999999998</v>
      </c>
      <c r="J15" s="37">
        <f t="shared" si="0"/>
        <v>0.35399167999999998</v>
      </c>
      <c r="K15" s="37">
        <f t="shared" si="0"/>
        <v>0</v>
      </c>
      <c r="L15" s="37">
        <f t="shared" si="0"/>
        <v>0.31029759999999995</v>
      </c>
      <c r="M15" s="37">
        <f t="shared" si="0"/>
        <v>0.16045824</v>
      </c>
      <c r="N15" s="37">
        <f t="shared" si="0"/>
        <v>0.20210687999999999</v>
      </c>
      <c r="O15" s="37">
        <f t="shared" si="0"/>
        <v>0.27060736000000002</v>
      </c>
    </row>
    <row r="16" spans="1:15" ht="19" customHeight="1" x14ac:dyDescent="0.3">
      <c r="B16" s="94" t="s">
        <v>211</v>
      </c>
      <c r="C16" s="151" t="s">
        <v>216</v>
      </c>
      <c r="D16" s="152"/>
      <c r="E16" s="152"/>
      <c r="F16" s="152"/>
      <c r="G16" s="152"/>
      <c r="H16" s="153" t="s">
        <v>216</v>
      </c>
      <c r="I16" s="154"/>
      <c r="J16" s="154"/>
      <c r="K16" s="154"/>
      <c r="L16" s="154"/>
      <c r="M16" s="154"/>
      <c r="N16" s="154"/>
      <c r="O16" s="154"/>
    </row>
    <row r="17" spans="2:15" ht="49.75" customHeight="1" x14ac:dyDescent="0.25">
      <c r="C17" s="10"/>
      <c r="D17" s="10"/>
      <c r="E17" s="10"/>
      <c r="F17" s="10"/>
      <c r="G17" s="10"/>
      <c r="H17" s="155"/>
      <c r="I17" s="155"/>
      <c r="J17" s="155"/>
      <c r="K17" s="155"/>
      <c r="L17" s="155"/>
      <c r="M17" s="155"/>
      <c r="N17" s="155"/>
      <c r="O17" s="155"/>
    </row>
    <row r="19" spans="2:15" ht="15.75" customHeight="1" x14ac:dyDescent="0.25">
      <c r="B19" s="108"/>
      <c r="D19" s="108"/>
      <c r="F19" s="108"/>
      <c r="H19" s="108"/>
      <c r="J19" s="108"/>
      <c r="L19" s="108"/>
      <c r="M19" s="98"/>
    </row>
    <row r="20" spans="2:15" ht="15.75" customHeight="1" x14ac:dyDescent="0.25">
      <c r="B20" s="108"/>
      <c r="D20" s="108"/>
      <c r="F20" s="108"/>
      <c r="H20" s="108"/>
      <c r="J20" s="108"/>
      <c r="L20" s="108"/>
      <c r="M20" s="98"/>
    </row>
    <row r="21" spans="2:15" ht="15.75" customHeight="1" x14ac:dyDescent="0.25">
      <c r="B21" s="108"/>
      <c r="D21" s="108"/>
      <c r="F21" s="108"/>
      <c r="H21" s="108"/>
      <c r="J21" s="108"/>
      <c r="L21" s="108"/>
      <c r="M21" s="98"/>
    </row>
    <row r="22" spans="2:15" ht="15.75" customHeight="1" x14ac:dyDescent="0.25">
      <c r="B22" s="108"/>
      <c r="D22" s="108"/>
      <c r="F22" s="108"/>
      <c r="H22" s="108"/>
      <c r="J22" s="108"/>
      <c r="L22" s="108"/>
      <c r="M22" s="98"/>
    </row>
    <row r="23" spans="2:15" ht="15.75" customHeight="1" x14ac:dyDescent="0.25">
      <c r="B23" s="108"/>
      <c r="D23" s="108"/>
      <c r="F23" s="108"/>
      <c r="H23" s="108"/>
      <c r="J23" s="108"/>
      <c r="L23" s="108"/>
      <c r="M23" s="98"/>
    </row>
    <row r="24" spans="2:15" ht="15.75" customHeight="1" x14ac:dyDescent="0.25">
      <c r="B24" s="108"/>
      <c r="D24" s="108"/>
      <c r="F24" s="108"/>
      <c r="H24" s="108"/>
      <c r="J24" s="108"/>
      <c r="L24" s="108"/>
      <c r="M24" s="98"/>
    </row>
    <row r="25" spans="2:15" ht="15.75" customHeight="1" x14ac:dyDescent="0.25">
      <c r="B25" s="108"/>
      <c r="D25" s="108"/>
      <c r="F25" s="108"/>
      <c r="H25" s="108"/>
      <c r="J25" s="108"/>
      <c r="L25" s="108"/>
      <c r="M25" s="98"/>
    </row>
    <row r="26" spans="2:15" ht="15.75" customHeight="1" x14ac:dyDescent="0.25">
      <c r="B26" s="108"/>
      <c r="D26" s="108"/>
      <c r="F26" s="108"/>
      <c r="H26" s="108"/>
      <c r="J26" s="108"/>
      <c r="L26" s="108"/>
      <c r="M26" s="98"/>
    </row>
    <row r="27" spans="2:15" ht="15.75" customHeight="1" x14ac:dyDescent="0.25">
      <c r="B27" s="108"/>
      <c r="D27" s="108"/>
      <c r="F27" s="108"/>
      <c r="H27" s="108"/>
      <c r="J27" s="108"/>
      <c r="L27" s="108"/>
      <c r="M27" s="98"/>
    </row>
    <row r="28" spans="2:15" ht="15.75" customHeight="1" x14ac:dyDescent="0.25">
      <c r="B28" s="108"/>
      <c r="D28" s="108"/>
      <c r="F28" s="108"/>
      <c r="H28" s="108"/>
      <c r="J28" s="108"/>
      <c r="L28" s="108"/>
      <c r="M28" s="98"/>
    </row>
    <row r="29" spans="2:15" ht="15.75" customHeight="1" x14ac:dyDescent="0.25">
      <c r="B29" s="108"/>
      <c r="D29" s="108"/>
      <c r="F29" s="108"/>
      <c r="H29" s="108"/>
      <c r="J29" s="108"/>
      <c r="L29" s="108"/>
      <c r="M29" s="98"/>
    </row>
    <row r="30" spans="2:15" ht="15.75" customHeight="1" x14ac:dyDescent="0.25">
      <c r="B30" s="108"/>
      <c r="D30" s="108"/>
      <c r="F30" s="108"/>
      <c r="H30" s="108"/>
      <c r="J30" s="108"/>
      <c r="L30" s="108"/>
      <c r="M30" s="98"/>
    </row>
    <row r="31" spans="2:15" ht="15.75" customHeight="1" x14ac:dyDescent="0.25">
      <c r="B31" s="108"/>
      <c r="D31" s="108"/>
      <c r="F31" s="108"/>
      <c r="H31" s="108"/>
      <c r="J31" s="108"/>
      <c r="L31" s="108"/>
      <c r="M31" s="98"/>
    </row>
    <row r="32" spans="2:15" ht="15.75" customHeight="1" x14ac:dyDescent="0.25">
      <c r="B32" s="108"/>
      <c r="D32" s="108"/>
      <c r="F32" s="108"/>
      <c r="H32" s="108"/>
      <c r="J32" s="108"/>
      <c r="L32" s="108"/>
      <c r="M32" s="98"/>
    </row>
    <row r="33" spans="2:13" ht="15.75" customHeight="1" x14ac:dyDescent="0.25">
      <c r="B33" s="108"/>
      <c r="D33" s="108"/>
      <c r="F33" s="108"/>
      <c r="H33" s="108"/>
      <c r="J33" s="108"/>
      <c r="L33" s="108"/>
      <c r="M33" s="98"/>
    </row>
    <row r="34" spans="2:13" ht="15.75" customHeight="1" x14ac:dyDescent="0.25">
      <c r="B34" s="108"/>
      <c r="D34" s="108"/>
      <c r="F34" s="108"/>
      <c r="H34" s="108"/>
      <c r="J34" s="108"/>
      <c r="L34" s="108"/>
      <c r="M34" s="98"/>
    </row>
    <row r="35" spans="2:13" ht="15.75" customHeight="1" x14ac:dyDescent="0.25">
      <c r="B35" s="108"/>
      <c r="D35" s="108"/>
      <c r="F35" s="108"/>
      <c r="H35" s="108"/>
      <c r="J35" s="108"/>
      <c r="L35" s="108"/>
      <c r="M35" s="98"/>
    </row>
    <row r="36" spans="2:13" ht="15.75" customHeight="1" x14ac:dyDescent="0.25">
      <c r="B36" s="108"/>
      <c r="D36" s="108"/>
      <c r="F36" s="108"/>
      <c r="H36" s="108"/>
      <c r="J36" s="108"/>
      <c r="L36" s="108"/>
      <c r="M36" s="98"/>
    </row>
    <row r="37" spans="2:13" ht="15.75" customHeight="1" x14ac:dyDescent="0.25">
      <c r="B37" s="108"/>
      <c r="D37" s="108"/>
      <c r="F37" s="108"/>
      <c r="H37" s="108"/>
      <c r="J37" s="108"/>
      <c r="L37" s="108"/>
      <c r="M37" s="98"/>
    </row>
    <row r="38" spans="2:13" ht="15.75" customHeight="1" x14ac:dyDescent="0.25">
      <c r="J38" s="108"/>
      <c r="L38" s="108"/>
      <c r="M38" s="98"/>
    </row>
    <row r="70" spans="14:14" ht="15.75" customHeight="1" x14ac:dyDescent="0.25">
      <c r="N70">
        <v>30</v>
      </c>
    </row>
  </sheetData>
  <mergeCells count="5">
    <mergeCell ref="H2:H5"/>
    <mergeCell ref="H8:H11"/>
    <mergeCell ref="C16:G16"/>
    <mergeCell ref="H16:O16"/>
    <mergeCell ref="H17:O17"/>
  </mergeCells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H5"/>
  <sheetViews>
    <sheetView zoomScale="84" zoomScaleNormal="55" workbookViewId="0">
      <selection activeCell="G6" sqref="G6"/>
    </sheetView>
  </sheetViews>
  <sheetFormatPr defaultColWidth="8.81640625" defaultRowHeight="12.5" x14ac:dyDescent="0.25"/>
  <cols>
    <col min="1" max="1" width="28.81640625" customWidth="1"/>
    <col min="2" max="7" width="13.36328125" customWidth="1"/>
    <col min="8" max="8" width="16.08984375" bestFit="1" customWidth="1"/>
  </cols>
  <sheetData>
    <row r="1" spans="1:8" ht="40.5" customHeight="1" x14ac:dyDescent="0.3">
      <c r="A1" s="31" t="str">
        <f>"Percentage of children in each category in baseline year ("&amp;start_year&amp;")"</f>
        <v>Percentage of children in each category in baseline year (2017)</v>
      </c>
      <c r="B1" s="1" t="s">
        <v>6</v>
      </c>
      <c r="C1" s="15" t="s">
        <v>1</v>
      </c>
      <c r="D1" s="15" t="s">
        <v>2</v>
      </c>
      <c r="E1" s="15" t="s">
        <v>3</v>
      </c>
      <c r="F1" s="15" t="s">
        <v>4</v>
      </c>
      <c r="G1" s="15" t="s">
        <v>5</v>
      </c>
      <c r="H1" s="86" t="s">
        <v>204</v>
      </c>
    </row>
    <row r="2" spans="1:8" x14ac:dyDescent="0.25">
      <c r="A2" s="3" t="s">
        <v>24</v>
      </c>
      <c r="B2" s="50" t="s">
        <v>166</v>
      </c>
      <c r="C2" s="130">
        <v>1</v>
      </c>
      <c r="D2" s="130">
        <v>0.9042751</v>
      </c>
      <c r="E2" s="130"/>
      <c r="F2" s="130"/>
      <c r="G2" s="130"/>
      <c r="H2" s="149" t="s">
        <v>207</v>
      </c>
    </row>
    <row r="3" spans="1:8" x14ac:dyDescent="0.25">
      <c r="B3" s="50" t="s">
        <v>167</v>
      </c>
      <c r="C3" s="139">
        <v>0</v>
      </c>
      <c r="D3" s="139">
        <v>0</v>
      </c>
      <c r="E3" s="139"/>
      <c r="F3" s="139"/>
      <c r="G3" s="139"/>
      <c r="H3" s="149"/>
    </row>
    <row r="4" spans="1:8" x14ac:dyDescent="0.25">
      <c r="B4" s="50" t="s">
        <v>168</v>
      </c>
      <c r="C4" s="139">
        <v>0</v>
      </c>
      <c r="D4" s="139">
        <v>9.5724900000000002E-2</v>
      </c>
      <c r="E4" s="133">
        <v>0.99616709999999997</v>
      </c>
      <c r="F4" s="133">
        <v>0.69069769999999997</v>
      </c>
      <c r="G4" s="133">
        <v>1.6511399999999999E-2</v>
      </c>
      <c r="H4" s="149"/>
    </row>
    <row r="5" spans="1:8" x14ac:dyDescent="0.25">
      <c r="B5" s="50" t="s">
        <v>169</v>
      </c>
      <c r="C5" s="37">
        <f>1-SUM(C2:C4)</f>
        <v>0</v>
      </c>
      <c r="D5" s="37">
        <f t="shared" ref="D5:G5" si="0">1-SUM(D2:D4)</f>
        <v>0</v>
      </c>
      <c r="E5" s="37">
        <f t="shared" si="0"/>
        <v>3.832900000000028E-3</v>
      </c>
      <c r="F5" s="37">
        <f t="shared" si="0"/>
        <v>0.30930230000000003</v>
      </c>
      <c r="G5" s="37">
        <f t="shared" si="0"/>
        <v>0.98348860000000005</v>
      </c>
      <c r="H5" s="149"/>
    </row>
  </sheetData>
  <mergeCells count="1">
    <mergeCell ref="H2:H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60" zoomScaleNormal="60" workbookViewId="0">
      <selection activeCell="G35" sqref="G35"/>
    </sheetView>
  </sheetViews>
  <sheetFormatPr defaultColWidth="8.81640625" defaultRowHeight="12.5" x14ac:dyDescent="0.25"/>
  <cols>
    <col min="1" max="1" width="37" customWidth="1"/>
    <col min="2" max="2" width="29.36328125" customWidth="1"/>
  </cols>
  <sheetData>
    <row r="1" spans="1:11" ht="13" x14ac:dyDescent="0.3">
      <c r="A1" s="4" t="s">
        <v>139</v>
      </c>
      <c r="B1" s="4" t="s">
        <v>146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140</v>
      </c>
      <c r="B2" s="17" t="s">
        <v>144</v>
      </c>
      <c r="C2" s="32"/>
      <c r="D2" s="32"/>
      <c r="E2" s="32"/>
      <c r="F2" s="32"/>
      <c r="G2" s="32"/>
      <c r="H2" s="32"/>
      <c r="I2" s="32"/>
      <c r="J2" s="32"/>
      <c r="K2" s="32"/>
    </row>
    <row r="3" spans="1:11" x14ac:dyDescent="0.25">
      <c r="B3" s="17"/>
    </row>
    <row r="4" spans="1:11" x14ac:dyDescent="0.25">
      <c r="A4" t="s">
        <v>141</v>
      </c>
      <c r="B4" s="17" t="s">
        <v>144</v>
      </c>
      <c r="C4" s="32"/>
      <c r="D4" s="32"/>
      <c r="E4" s="32"/>
      <c r="F4" s="32"/>
      <c r="G4" s="32"/>
      <c r="H4" s="32"/>
      <c r="I4" s="32"/>
      <c r="J4" s="32"/>
      <c r="K4" s="32"/>
    </row>
    <row r="5" spans="1:11" x14ac:dyDescent="0.25">
      <c r="B5" s="17"/>
    </row>
    <row r="6" spans="1:11" x14ac:dyDescent="0.25">
      <c r="A6" t="s">
        <v>142</v>
      </c>
      <c r="B6" s="17" t="s">
        <v>144</v>
      </c>
      <c r="C6" s="32"/>
      <c r="D6" s="32"/>
      <c r="E6" s="32"/>
      <c r="F6" s="32"/>
      <c r="G6" s="32"/>
      <c r="H6" s="32"/>
      <c r="I6" s="32"/>
      <c r="J6" s="32"/>
      <c r="K6" s="32"/>
    </row>
    <row r="7" spans="1:11" x14ac:dyDescent="0.25">
      <c r="B7" s="17" t="s">
        <v>32</v>
      </c>
      <c r="C7" s="32"/>
      <c r="D7" s="32"/>
      <c r="E7" s="32"/>
      <c r="F7" s="32"/>
      <c r="G7" s="32"/>
      <c r="H7" s="32"/>
      <c r="I7" s="32"/>
      <c r="J7" s="32"/>
      <c r="K7" s="32"/>
    </row>
    <row r="8" spans="1:11" x14ac:dyDescent="0.25">
      <c r="B8" s="17" t="s">
        <v>145</v>
      </c>
      <c r="C8" s="32"/>
      <c r="D8" s="32"/>
      <c r="E8" s="32"/>
      <c r="F8" s="32"/>
      <c r="G8" s="32"/>
      <c r="H8" s="32"/>
      <c r="I8" s="32"/>
      <c r="J8" s="32"/>
      <c r="K8" s="32"/>
    </row>
    <row r="10" spans="1:11" x14ac:dyDescent="0.25">
      <c r="A10" t="s">
        <v>143</v>
      </c>
      <c r="B10" s="19" t="s">
        <v>148</v>
      </c>
      <c r="C10" s="32"/>
      <c r="D10" s="32"/>
      <c r="E10" s="32"/>
      <c r="F10" s="32"/>
      <c r="G10" s="32"/>
      <c r="H10" s="32"/>
      <c r="I10" s="32"/>
      <c r="J10" s="32"/>
      <c r="K10" s="32"/>
    </row>
    <row r="11" spans="1:11" x14ac:dyDescent="0.25">
      <c r="B11" s="39" t="s">
        <v>147</v>
      </c>
      <c r="C11" s="32"/>
      <c r="D11" s="32"/>
      <c r="E11" s="32"/>
      <c r="F11" s="32"/>
      <c r="G11" s="32"/>
      <c r="H11" s="32"/>
      <c r="I11" s="32"/>
      <c r="J11" s="32"/>
      <c r="K11" s="32"/>
    </row>
    <row r="13" spans="1:11" x14ac:dyDescent="0.25">
      <c r="A13" s="15" t="s">
        <v>74</v>
      </c>
      <c r="B13" s="39" t="s">
        <v>149</v>
      </c>
      <c r="C13" s="32"/>
      <c r="D13" s="32"/>
      <c r="E13" s="32"/>
      <c r="F13" s="32"/>
      <c r="G13" s="32"/>
      <c r="H13" s="32"/>
      <c r="I13" s="32"/>
      <c r="J13" s="32"/>
      <c r="K13" s="32"/>
    </row>
    <row r="14" spans="1:11" x14ac:dyDescent="0.25">
      <c r="B14" s="19" t="s">
        <v>170</v>
      </c>
      <c r="C14" s="32"/>
      <c r="D14" s="32"/>
      <c r="E14" s="32"/>
      <c r="F14" s="32"/>
      <c r="G14" s="32"/>
      <c r="H14" s="32"/>
      <c r="I14" s="32"/>
      <c r="J14" s="32"/>
      <c r="K14" s="32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zoomScale="60" zoomScaleNormal="60" workbookViewId="0">
      <selection activeCell="J1" sqref="J1"/>
    </sheetView>
  </sheetViews>
  <sheetFormatPr defaultColWidth="11.36328125" defaultRowHeight="12.5" x14ac:dyDescent="0.25"/>
  <cols>
    <col min="1" max="1" width="17" style="42" customWidth="1"/>
    <col min="2" max="2" width="19.08984375" style="42" customWidth="1"/>
    <col min="3" max="3" width="13.36328125" style="42" customWidth="1"/>
    <col min="4" max="16384" width="11.36328125" style="42"/>
  </cols>
  <sheetData>
    <row r="1" spans="1:5" ht="13" x14ac:dyDescent="0.3">
      <c r="A1" s="55" t="s">
        <v>177</v>
      </c>
      <c r="B1" s="56" t="s">
        <v>176</v>
      </c>
      <c r="C1" s="56" t="s">
        <v>175</v>
      </c>
      <c r="D1" s="56" t="s">
        <v>174</v>
      </c>
      <c r="E1" s="56" t="s">
        <v>173</v>
      </c>
    </row>
    <row r="2" spans="1:5" ht="13" x14ac:dyDescent="0.3">
      <c r="A2" s="54" t="s">
        <v>172</v>
      </c>
      <c r="B2" s="51" t="s">
        <v>32</v>
      </c>
      <c r="C2" s="75"/>
      <c r="D2" s="75" t="b">
        <v>1</v>
      </c>
      <c r="E2" s="76" t="b">
        <f>IF(E$7="","",E$7)</f>
        <v>1</v>
      </c>
    </row>
    <row r="3" spans="1:5" x14ac:dyDescent="0.25">
      <c r="A3" s="52"/>
      <c r="B3" s="51" t="s">
        <v>1</v>
      </c>
      <c r="C3" s="75"/>
      <c r="D3" s="75" t="b">
        <v>1</v>
      </c>
      <c r="E3" s="76" t="b">
        <f>IF(E$7="","",E$7)</f>
        <v>1</v>
      </c>
    </row>
    <row r="4" spans="1:5" x14ac:dyDescent="0.25">
      <c r="A4" s="52"/>
      <c r="B4" s="51" t="s">
        <v>2</v>
      </c>
      <c r="C4" s="75"/>
      <c r="D4" s="75" t="b">
        <v>1</v>
      </c>
      <c r="E4" s="76" t="b">
        <f>IF(E$7="","",E$7)</f>
        <v>1</v>
      </c>
    </row>
    <row r="5" spans="1:5" x14ac:dyDescent="0.25">
      <c r="A5" s="52"/>
      <c r="B5" s="51" t="s">
        <v>3</v>
      </c>
      <c r="C5" s="75"/>
      <c r="D5" s="75" t="b">
        <v>1</v>
      </c>
      <c r="E5" s="76" t="b">
        <f>IF(E$7="","",E$7)</f>
        <v>1</v>
      </c>
    </row>
    <row r="6" spans="1:5" x14ac:dyDescent="0.25">
      <c r="A6" s="52"/>
      <c r="B6" s="51" t="s">
        <v>4</v>
      </c>
      <c r="C6" s="75"/>
      <c r="D6" s="75" t="b">
        <v>1</v>
      </c>
      <c r="E6" s="76" t="b">
        <f>IF(E$7="","",E$7)</f>
        <v>1</v>
      </c>
    </row>
    <row r="7" spans="1:5" x14ac:dyDescent="0.25">
      <c r="A7" s="52"/>
      <c r="B7" s="51" t="s">
        <v>171</v>
      </c>
      <c r="C7" s="77"/>
      <c r="D7" s="78"/>
      <c r="E7" s="75" t="b">
        <v>1</v>
      </c>
    </row>
    <row r="8" spans="1:5" x14ac:dyDescent="0.25">
      <c r="C8" s="79"/>
      <c r="D8" s="79"/>
      <c r="E8" s="79"/>
    </row>
    <row r="9" spans="1:5" ht="13" x14ac:dyDescent="0.3">
      <c r="A9" s="54" t="s">
        <v>199</v>
      </c>
      <c r="B9" s="51" t="s">
        <v>32</v>
      </c>
      <c r="C9" s="75" t="b">
        <v>1</v>
      </c>
      <c r="D9" s="75"/>
      <c r="E9" s="76" t="b">
        <f>IF(E$7="","",E$7)</f>
        <v>1</v>
      </c>
    </row>
    <row r="10" spans="1:5" x14ac:dyDescent="0.25">
      <c r="A10" s="52"/>
      <c r="B10" s="51" t="s">
        <v>1</v>
      </c>
      <c r="C10" s="75" t="b">
        <v>1</v>
      </c>
      <c r="D10" s="75"/>
      <c r="E10" s="76" t="b">
        <f>IF(E$7="","",E$7)</f>
        <v>1</v>
      </c>
    </row>
    <row r="11" spans="1:5" x14ac:dyDescent="0.25">
      <c r="A11" s="52"/>
      <c r="B11" s="51" t="s">
        <v>2</v>
      </c>
      <c r="C11" s="75" t="b">
        <v>1</v>
      </c>
      <c r="D11" s="75"/>
      <c r="E11" s="76" t="b">
        <f>IF(E$7="","",E$7)</f>
        <v>1</v>
      </c>
    </row>
    <row r="12" spans="1:5" x14ac:dyDescent="0.25">
      <c r="A12" s="52"/>
      <c r="B12" s="51" t="s">
        <v>3</v>
      </c>
      <c r="C12" s="75" t="b">
        <v>1</v>
      </c>
      <c r="D12" s="75"/>
      <c r="E12" s="76" t="b">
        <f>IF(E$7="","",E$7)</f>
        <v>1</v>
      </c>
    </row>
    <row r="13" spans="1:5" x14ac:dyDescent="0.25">
      <c r="A13" s="52"/>
      <c r="B13" s="51" t="s">
        <v>4</v>
      </c>
      <c r="C13" s="75" t="b">
        <v>1</v>
      </c>
      <c r="D13" s="75"/>
      <c r="E13" s="76" t="b">
        <f>IF(E$7="","",E$7)</f>
        <v>1</v>
      </c>
    </row>
    <row r="14" spans="1:5" x14ac:dyDescent="0.25">
      <c r="A14" s="52"/>
      <c r="B14" s="51" t="s">
        <v>171</v>
      </c>
      <c r="C14" s="77"/>
      <c r="D14" s="78"/>
      <c r="E14" s="75"/>
    </row>
    <row r="15" spans="1:5" x14ac:dyDescent="0.25">
      <c r="C15" s="79"/>
      <c r="D15" s="79"/>
      <c r="E15" s="79"/>
    </row>
    <row r="16" spans="1:5" ht="13" x14ac:dyDescent="0.3">
      <c r="A16" s="54" t="s">
        <v>200</v>
      </c>
      <c r="B16" s="51" t="s">
        <v>32</v>
      </c>
      <c r="C16" s="75"/>
      <c r="D16" s="75"/>
      <c r="E16" s="76" t="b">
        <f>IF(E$7="","",E$7)</f>
        <v>1</v>
      </c>
    </row>
    <row r="17" spans="1:5" x14ac:dyDescent="0.25">
      <c r="A17" s="52"/>
      <c r="B17" s="51" t="s">
        <v>1</v>
      </c>
      <c r="C17" s="75"/>
      <c r="D17" s="75"/>
      <c r="E17" s="76" t="b">
        <f>IF(E$7="","",E$7)</f>
        <v>1</v>
      </c>
    </row>
    <row r="18" spans="1:5" x14ac:dyDescent="0.25">
      <c r="A18" s="52"/>
      <c r="B18" s="51" t="s">
        <v>2</v>
      </c>
      <c r="C18" s="75"/>
      <c r="D18" s="75"/>
      <c r="E18" s="76" t="b">
        <f>IF(E$7="","",E$7)</f>
        <v>1</v>
      </c>
    </row>
    <row r="19" spans="1:5" x14ac:dyDescent="0.25">
      <c r="A19" s="52"/>
      <c r="B19" s="51" t="s">
        <v>3</v>
      </c>
      <c r="C19" s="75"/>
      <c r="D19" s="75"/>
      <c r="E19" s="76" t="b">
        <f>IF(E$7="","",E$7)</f>
        <v>1</v>
      </c>
    </row>
    <row r="20" spans="1:5" x14ac:dyDescent="0.25">
      <c r="A20" s="52"/>
      <c r="B20" s="51" t="s">
        <v>4</v>
      </c>
      <c r="C20" s="75"/>
      <c r="D20" s="75"/>
      <c r="E20" s="76" t="b">
        <f>IF(E$7="","",E$7)</f>
        <v>1</v>
      </c>
    </row>
    <row r="21" spans="1:5" x14ac:dyDescent="0.25">
      <c r="A21" s="52"/>
      <c r="B21" s="51" t="s">
        <v>171</v>
      </c>
      <c r="C21" s="77"/>
      <c r="D21" s="78"/>
      <c r="E21" s="75"/>
    </row>
  </sheetData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="60" zoomScaleNormal="60" workbookViewId="0">
      <selection activeCell="C7" sqref="C7"/>
    </sheetView>
  </sheetViews>
  <sheetFormatPr defaultColWidth="10.81640625" defaultRowHeight="12.5" x14ac:dyDescent="0.25"/>
  <cols>
    <col min="1" max="1" width="15.54296875" customWidth="1"/>
    <col min="2" max="2" width="15.36328125" customWidth="1"/>
    <col min="3" max="3" width="21" customWidth="1"/>
    <col min="4" max="4" width="12.81640625" customWidth="1"/>
  </cols>
  <sheetData>
    <row r="1" spans="1:4" ht="13" x14ac:dyDescent="0.3">
      <c r="A1" s="71" t="s">
        <v>165</v>
      </c>
      <c r="B1" s="56" t="s">
        <v>180</v>
      </c>
      <c r="C1" s="72" t="s">
        <v>181</v>
      </c>
      <c r="D1" s="72" t="s">
        <v>185</v>
      </c>
    </row>
    <row r="2" spans="1:4" ht="13" x14ac:dyDescent="0.3">
      <c r="A2" s="72" t="s">
        <v>69</v>
      </c>
      <c r="B2" s="51" t="s">
        <v>67</v>
      </c>
      <c r="C2" s="51" t="s">
        <v>182</v>
      </c>
      <c r="D2" s="75"/>
    </row>
    <row r="3" spans="1:4" ht="13" x14ac:dyDescent="0.3">
      <c r="A3" s="72" t="s">
        <v>184</v>
      </c>
      <c r="B3" s="51" t="s">
        <v>175</v>
      </c>
      <c r="C3" s="51" t="s">
        <v>183</v>
      </c>
      <c r="D3" s="75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H39"/>
  <sheetViews>
    <sheetView zoomScale="107" zoomScaleNormal="60" workbookViewId="0">
      <selection activeCell="B1" sqref="B1"/>
    </sheetView>
  </sheetViews>
  <sheetFormatPr defaultColWidth="14.36328125" defaultRowHeight="15.75" customHeight="1" x14ac:dyDescent="0.25"/>
  <cols>
    <col min="1" max="1" width="56" style="57" customWidth="1"/>
    <col min="2" max="2" width="14.36328125" style="42"/>
    <col min="3" max="3" width="20.36328125" style="42" customWidth="1"/>
    <col min="4" max="4" width="20.08984375" style="42" customWidth="1"/>
    <col min="5" max="5" width="12.08984375" style="42" customWidth="1"/>
    <col min="6" max="6" width="26.1796875" style="50" customWidth="1"/>
    <col min="7" max="7" width="15.81640625" style="42" customWidth="1"/>
    <col min="8" max="16384" width="14.36328125" style="42"/>
  </cols>
  <sheetData>
    <row r="1" spans="1:8" ht="56.65" customHeight="1" x14ac:dyDescent="0.35">
      <c r="A1" s="62" t="s">
        <v>69</v>
      </c>
      <c r="B1" s="141" t="s">
        <v>258</v>
      </c>
      <c r="C1" s="61" t="s">
        <v>201</v>
      </c>
      <c r="D1" s="60" t="s">
        <v>202</v>
      </c>
      <c r="E1" s="88" t="s">
        <v>208</v>
      </c>
      <c r="F1" s="115" t="s">
        <v>248</v>
      </c>
      <c r="G1" s="91" t="s">
        <v>209</v>
      </c>
    </row>
    <row r="2" spans="1:8" ht="15.75" customHeight="1" x14ac:dyDescent="0.25">
      <c r="A2" s="57" t="s">
        <v>29</v>
      </c>
      <c r="B2" s="140"/>
      <c r="C2" s="58">
        <v>0.95</v>
      </c>
      <c r="D2" s="59">
        <v>25</v>
      </c>
      <c r="E2" s="89"/>
      <c r="F2" s="90"/>
      <c r="G2" s="89" t="s">
        <v>212</v>
      </c>
    </row>
    <row r="3" spans="1:8" ht="15.75" customHeight="1" x14ac:dyDescent="0.25">
      <c r="A3" s="57" t="s">
        <v>86</v>
      </c>
      <c r="B3" s="140"/>
      <c r="C3" s="58">
        <v>0.95</v>
      </c>
      <c r="D3" s="59">
        <v>1</v>
      </c>
      <c r="E3" s="90"/>
      <c r="F3" s="90"/>
      <c r="G3" s="89" t="s">
        <v>210</v>
      </c>
    </row>
    <row r="4" spans="1:8" ht="15.75" customHeight="1" x14ac:dyDescent="0.25">
      <c r="A4" s="57" t="s">
        <v>61</v>
      </c>
      <c r="B4" s="140"/>
      <c r="C4" s="58">
        <v>0.95</v>
      </c>
      <c r="D4" s="59">
        <f>180</f>
        <v>180</v>
      </c>
      <c r="E4" s="90"/>
      <c r="F4" s="90"/>
      <c r="G4" s="89" t="s">
        <v>210</v>
      </c>
    </row>
    <row r="5" spans="1:8" ht="15.75" customHeight="1" x14ac:dyDescent="0.3">
      <c r="A5" s="92" t="s">
        <v>198</v>
      </c>
      <c r="B5" s="130">
        <v>0.12</v>
      </c>
      <c r="C5" s="58">
        <v>0.95</v>
      </c>
      <c r="D5" s="117">
        <f>SUM('Programs family planning'!E2:E10)</f>
        <v>0.82100000000000006</v>
      </c>
      <c r="E5" s="89" t="s">
        <v>216</v>
      </c>
      <c r="F5" s="116" t="s">
        <v>230</v>
      </c>
      <c r="G5" s="89"/>
    </row>
    <row r="6" spans="1:8" ht="15.75" customHeight="1" x14ac:dyDescent="0.3">
      <c r="A6" s="92"/>
      <c r="B6" s="130">
        <v>0.05</v>
      </c>
      <c r="C6" s="58">
        <v>0.95</v>
      </c>
      <c r="D6" s="117">
        <v>8.2000000000000003E-2</v>
      </c>
      <c r="E6" s="89" t="s">
        <v>216</v>
      </c>
      <c r="F6" s="116" t="s">
        <v>231</v>
      </c>
      <c r="G6" s="89"/>
    </row>
    <row r="7" spans="1:8" ht="15.75" customHeight="1" x14ac:dyDescent="0.25">
      <c r="A7" s="57" t="s">
        <v>63</v>
      </c>
      <c r="B7" s="131"/>
      <c r="C7" s="58">
        <v>0.95</v>
      </c>
      <c r="D7" s="59">
        <v>0.82</v>
      </c>
      <c r="E7" s="89"/>
      <c r="F7" s="90"/>
      <c r="G7" s="89"/>
    </row>
    <row r="8" spans="1:8" ht="15.75" customHeight="1" x14ac:dyDescent="0.25">
      <c r="A8" s="70" t="s">
        <v>187</v>
      </c>
      <c r="B8" s="131"/>
      <c r="C8" s="58">
        <v>0.95</v>
      </c>
      <c r="D8" s="59">
        <v>0.73</v>
      </c>
      <c r="E8" s="89"/>
      <c r="F8" s="90"/>
      <c r="G8" s="89"/>
    </row>
    <row r="9" spans="1:8" ht="15.75" customHeight="1" x14ac:dyDescent="0.25">
      <c r="A9" s="70" t="s">
        <v>188</v>
      </c>
      <c r="B9" s="131"/>
      <c r="C9" s="58">
        <v>0.95</v>
      </c>
      <c r="D9" s="59">
        <v>1.78</v>
      </c>
      <c r="E9" s="89"/>
      <c r="F9" s="90"/>
      <c r="G9" s="89"/>
    </row>
    <row r="10" spans="1:8" ht="15.75" customHeight="1" x14ac:dyDescent="0.25">
      <c r="A10" s="70" t="s">
        <v>189</v>
      </c>
      <c r="B10" s="131"/>
      <c r="C10" s="58">
        <v>0.95</v>
      </c>
      <c r="D10" s="59">
        <v>0.24</v>
      </c>
      <c r="E10" s="89"/>
      <c r="F10" s="90"/>
      <c r="G10" s="89"/>
    </row>
    <row r="11" spans="1:8" ht="15.75" customHeight="1" x14ac:dyDescent="0.25">
      <c r="A11" s="70" t="s">
        <v>190</v>
      </c>
      <c r="B11" s="131"/>
      <c r="C11" s="58">
        <v>0.95</v>
      </c>
      <c r="D11" s="59">
        <v>0.55000000000000004</v>
      </c>
      <c r="E11" s="89"/>
      <c r="F11" s="90"/>
      <c r="G11" s="89" t="s">
        <v>210</v>
      </c>
    </row>
    <row r="12" spans="1:8" ht="15.75" customHeight="1" x14ac:dyDescent="0.25">
      <c r="A12" s="14" t="s">
        <v>186</v>
      </c>
      <c r="B12" s="131"/>
      <c r="C12" s="58">
        <v>0.95</v>
      </c>
      <c r="D12" s="59">
        <v>0.73</v>
      </c>
      <c r="E12" s="89"/>
      <c r="F12" s="90"/>
      <c r="G12" s="89"/>
    </row>
    <row r="13" spans="1:8" ht="15.75" customHeight="1" x14ac:dyDescent="0.35">
      <c r="A13" s="93" t="s">
        <v>191</v>
      </c>
      <c r="B13" s="130">
        <v>0.61399999999999999</v>
      </c>
      <c r="C13" s="58">
        <v>0.95</v>
      </c>
      <c r="D13" s="59">
        <v>2</v>
      </c>
      <c r="E13" s="89" t="s">
        <v>216</v>
      </c>
      <c r="F13" s="90" t="s">
        <v>246</v>
      </c>
      <c r="G13" s="89"/>
      <c r="H13" s="99"/>
    </row>
    <row r="14" spans="1:8" ht="15.75" customHeight="1" x14ac:dyDescent="0.3">
      <c r="A14" s="92" t="s">
        <v>57</v>
      </c>
      <c r="B14" s="130">
        <v>0.43700000000000006</v>
      </c>
      <c r="C14" s="58">
        <v>0.95</v>
      </c>
      <c r="D14" s="59">
        <v>2.1800000000000002</v>
      </c>
      <c r="E14" s="89" t="s">
        <v>216</v>
      </c>
      <c r="F14" s="116" t="s">
        <v>232</v>
      </c>
      <c r="G14" s="89" t="s">
        <v>212</v>
      </c>
    </row>
    <row r="15" spans="1:8" ht="15.75" customHeight="1" x14ac:dyDescent="0.35">
      <c r="A15" s="92"/>
      <c r="B15" s="130">
        <v>0.13</v>
      </c>
      <c r="C15" s="58">
        <v>0.95</v>
      </c>
      <c r="D15" s="59">
        <v>2.1800000000000002</v>
      </c>
      <c r="E15" s="89" t="s">
        <v>216</v>
      </c>
      <c r="F15" s="116" t="s">
        <v>233</v>
      </c>
      <c r="G15" s="89"/>
      <c r="H15" s="99"/>
    </row>
    <row r="16" spans="1:8" ht="15.75" customHeight="1" x14ac:dyDescent="0.35">
      <c r="A16" s="57" t="s">
        <v>47</v>
      </c>
      <c r="B16" s="131"/>
      <c r="C16" s="58">
        <v>0.95</v>
      </c>
      <c r="D16" s="59">
        <v>0.05</v>
      </c>
      <c r="E16" s="89"/>
      <c r="F16" s="90"/>
      <c r="G16" s="89"/>
      <c r="H16" s="99"/>
    </row>
    <row r="17" spans="1:8" ht="16" customHeight="1" x14ac:dyDescent="0.25">
      <c r="A17" s="57" t="s">
        <v>172</v>
      </c>
      <c r="B17" s="131"/>
      <c r="C17" s="58">
        <v>0.95</v>
      </c>
      <c r="D17" s="118">
        <v>5</v>
      </c>
      <c r="E17" s="89"/>
      <c r="F17" s="90"/>
      <c r="G17" s="89"/>
    </row>
    <row r="18" spans="1:8" ht="15.75" customHeight="1" x14ac:dyDescent="0.25">
      <c r="A18" s="57" t="s">
        <v>199</v>
      </c>
      <c r="B18" s="131"/>
      <c r="C18" s="58">
        <v>0.95</v>
      </c>
      <c r="D18" s="118">
        <f>SUMPRODUCT(('IYCF cost'!$C$2:$E$6)*('IYCF packages'!$C$9:$E$13&lt;&gt;""))</f>
        <v>4.8250000000000002</v>
      </c>
      <c r="E18" s="89"/>
      <c r="F18" s="90"/>
      <c r="G18" s="89" t="s">
        <v>210</v>
      </c>
    </row>
    <row r="19" spans="1:8" ht="15.75" customHeight="1" x14ac:dyDescent="0.25">
      <c r="A19" s="57" t="s">
        <v>200</v>
      </c>
      <c r="B19" s="131"/>
      <c r="C19" s="58">
        <v>0.95</v>
      </c>
      <c r="D19" s="118">
        <f>SUMPRODUCT(('IYCF cost'!$C$2:$E$6)*('IYCF packages'!$C$16:$E$20&lt;&gt;""))</f>
        <v>0.25</v>
      </c>
      <c r="E19" s="89"/>
      <c r="F19" s="90"/>
      <c r="G19" s="89"/>
    </row>
    <row r="20" spans="1:8" ht="15.75" customHeight="1" x14ac:dyDescent="0.25">
      <c r="A20" s="57" t="s">
        <v>196</v>
      </c>
      <c r="B20" s="131"/>
      <c r="C20" s="58">
        <v>0.95</v>
      </c>
      <c r="D20" s="59">
        <v>8.84</v>
      </c>
      <c r="E20" s="89"/>
      <c r="F20" s="90"/>
      <c r="G20" s="89"/>
    </row>
    <row r="21" spans="1:8" ht="15.75" customHeight="1" x14ac:dyDescent="0.25">
      <c r="A21" s="57" t="s">
        <v>137</v>
      </c>
      <c r="B21" s="131"/>
      <c r="C21" s="58">
        <v>0.95</v>
      </c>
      <c r="D21" s="59">
        <v>50</v>
      </c>
      <c r="E21" s="90"/>
      <c r="F21" s="90"/>
      <c r="G21" s="89"/>
    </row>
    <row r="22" spans="1:8" ht="15.75" customHeight="1" x14ac:dyDescent="0.25">
      <c r="A22" s="57" t="s">
        <v>34</v>
      </c>
      <c r="B22" s="131"/>
      <c r="C22" s="58">
        <v>0.95</v>
      </c>
      <c r="D22" s="59">
        <v>2.61</v>
      </c>
      <c r="E22" s="90"/>
      <c r="F22" s="90"/>
      <c r="G22" s="89"/>
    </row>
    <row r="23" spans="1:8" ht="15.75" customHeight="1" x14ac:dyDescent="0.25">
      <c r="A23" s="57" t="s">
        <v>88</v>
      </c>
      <c r="B23" s="131"/>
      <c r="C23" s="58">
        <v>0.95</v>
      </c>
      <c r="D23" s="59">
        <v>1</v>
      </c>
      <c r="E23" s="90"/>
      <c r="F23" s="90"/>
      <c r="G23" s="89" t="s">
        <v>210</v>
      </c>
    </row>
    <row r="24" spans="1:8" ht="15.75" customHeight="1" x14ac:dyDescent="0.25">
      <c r="A24" s="57" t="s">
        <v>87</v>
      </c>
      <c r="B24" s="131"/>
      <c r="C24" s="58">
        <v>0.95</v>
      </c>
      <c r="D24" s="59">
        <v>1</v>
      </c>
      <c r="E24" s="90"/>
      <c r="F24" s="90"/>
      <c r="G24" s="89" t="s">
        <v>210</v>
      </c>
    </row>
    <row r="25" spans="1:8" ht="15.75" customHeight="1" x14ac:dyDescent="0.25">
      <c r="A25" s="57" t="s">
        <v>138</v>
      </c>
      <c r="B25" s="131"/>
      <c r="C25" s="58">
        <v>0.95</v>
      </c>
      <c r="D25" s="59">
        <v>1</v>
      </c>
      <c r="E25" s="90"/>
      <c r="F25" s="90"/>
      <c r="G25" s="89" t="s">
        <v>210</v>
      </c>
    </row>
    <row r="26" spans="1:8" ht="15.75" customHeight="1" x14ac:dyDescent="0.3">
      <c r="A26" s="92" t="s">
        <v>59</v>
      </c>
      <c r="B26" s="131"/>
      <c r="C26" s="58">
        <v>0.95</v>
      </c>
      <c r="D26" s="59">
        <v>3.54</v>
      </c>
      <c r="E26" s="89"/>
      <c r="F26" s="90" t="s">
        <v>247</v>
      </c>
      <c r="G26" s="89"/>
    </row>
    <row r="27" spans="1:8" ht="15.75" customHeight="1" x14ac:dyDescent="0.3">
      <c r="A27" s="92" t="s">
        <v>84</v>
      </c>
      <c r="B27" s="130">
        <v>0.36599999999999999</v>
      </c>
      <c r="C27" s="58">
        <v>0.95</v>
      </c>
      <c r="D27" s="59">
        <v>1</v>
      </c>
      <c r="E27" s="89" t="s">
        <v>216</v>
      </c>
      <c r="F27" s="90" t="s">
        <v>234</v>
      </c>
      <c r="G27" s="89"/>
    </row>
    <row r="28" spans="1:8" ht="15.75" customHeight="1" x14ac:dyDescent="0.25">
      <c r="A28" s="57" t="s">
        <v>58</v>
      </c>
      <c r="B28" s="131"/>
      <c r="C28" s="58">
        <v>0.95</v>
      </c>
      <c r="D28" s="59">
        <v>40.25</v>
      </c>
      <c r="E28" s="89"/>
      <c r="F28" s="90"/>
      <c r="G28" s="89"/>
    </row>
    <row r="29" spans="1:8" ht="15.75" customHeight="1" x14ac:dyDescent="0.25">
      <c r="A29" s="57" t="s">
        <v>67</v>
      </c>
      <c r="B29" s="131"/>
      <c r="C29" s="58">
        <v>0.95</v>
      </c>
      <c r="D29" s="119">
        <f>162*AVERAGE('Incidence of conditions'!B4:F4) + 0*AVERAGE('Incidence of conditions'!B3:F3)*IF(ISBLANK(manage_mam), 0, 1)</f>
        <v>12.4146594</v>
      </c>
      <c r="E29" s="89"/>
      <c r="F29" s="90"/>
      <c r="G29" s="89"/>
    </row>
    <row r="30" spans="1:8" ht="15.75" customHeight="1" x14ac:dyDescent="0.35">
      <c r="A30" s="92" t="s">
        <v>28</v>
      </c>
      <c r="B30" s="130">
        <v>0.65400000000000003</v>
      </c>
      <c r="C30" s="58">
        <v>0.95</v>
      </c>
      <c r="D30" s="59">
        <v>0.55000000000000004</v>
      </c>
      <c r="E30" s="89" t="s">
        <v>216</v>
      </c>
      <c r="F30" s="116" t="s">
        <v>235</v>
      </c>
      <c r="G30" s="89"/>
      <c r="H30" s="99"/>
    </row>
    <row r="31" spans="1:8" ht="15.75" customHeight="1" x14ac:dyDescent="0.35">
      <c r="A31" s="92"/>
      <c r="B31" s="130">
        <v>0.22500000000000001</v>
      </c>
      <c r="C31" s="58">
        <v>0.95</v>
      </c>
      <c r="D31" s="59">
        <v>0.55000000000000004</v>
      </c>
      <c r="E31" s="89" t="s">
        <v>216</v>
      </c>
      <c r="F31" s="116" t="s">
        <v>236</v>
      </c>
      <c r="G31" s="89"/>
      <c r="H31" s="99"/>
    </row>
    <row r="32" spans="1:8" ht="15.75" customHeight="1" x14ac:dyDescent="0.25">
      <c r="A32" s="57" t="s">
        <v>83</v>
      </c>
      <c r="B32" s="131"/>
      <c r="C32" s="58">
        <v>0.95</v>
      </c>
      <c r="D32" s="59">
        <v>1</v>
      </c>
      <c r="E32" s="89"/>
      <c r="F32" s="90"/>
      <c r="G32" s="89" t="s">
        <v>210</v>
      </c>
    </row>
    <row r="33" spans="1:7" ht="15.75" customHeight="1" x14ac:dyDescent="0.25">
      <c r="A33" s="57" t="s">
        <v>82</v>
      </c>
      <c r="B33" s="131"/>
      <c r="C33" s="58">
        <v>0.95</v>
      </c>
      <c r="D33" s="59">
        <v>2.8</v>
      </c>
      <c r="E33" s="89"/>
      <c r="F33" s="90"/>
      <c r="G33" s="89"/>
    </row>
    <row r="34" spans="1:7" ht="15.75" customHeight="1" x14ac:dyDescent="0.25">
      <c r="A34" s="57" t="s">
        <v>81</v>
      </c>
      <c r="B34" s="131"/>
      <c r="C34" s="58">
        <v>0.95</v>
      </c>
      <c r="D34" s="59">
        <v>50.26</v>
      </c>
      <c r="E34" s="89"/>
      <c r="F34" s="90"/>
      <c r="G34" s="89"/>
    </row>
    <row r="35" spans="1:7" ht="15.75" customHeight="1" x14ac:dyDescent="0.25">
      <c r="A35" s="57" t="s">
        <v>79</v>
      </c>
      <c r="B35" s="131"/>
      <c r="C35" s="58">
        <v>0.95</v>
      </c>
      <c r="D35" s="59">
        <v>36.1</v>
      </c>
      <c r="E35" s="89"/>
      <c r="F35" s="90"/>
      <c r="G35" s="89"/>
    </row>
    <row r="36" spans="1:7" s="43" customFormat="1" ht="15.75" customHeight="1" x14ac:dyDescent="0.25">
      <c r="A36" s="57" t="s">
        <v>80</v>
      </c>
      <c r="B36" s="131"/>
      <c r="C36" s="58">
        <v>0.95</v>
      </c>
      <c r="D36" s="59">
        <v>231.85</v>
      </c>
      <c r="E36" s="89"/>
      <c r="F36" s="90"/>
      <c r="G36" s="89"/>
    </row>
    <row r="37" spans="1:7" ht="15.75" customHeight="1" x14ac:dyDescent="0.3">
      <c r="A37" s="92" t="s">
        <v>85</v>
      </c>
      <c r="B37" s="131">
        <v>7.4999999999999997E-3</v>
      </c>
      <c r="C37" s="58">
        <v>0.95</v>
      </c>
      <c r="D37" s="59">
        <v>0.92</v>
      </c>
      <c r="E37" s="89" t="s">
        <v>216</v>
      </c>
      <c r="F37" s="90"/>
      <c r="G37" s="89"/>
    </row>
    <row r="38" spans="1:7" ht="15.75" customHeight="1" x14ac:dyDescent="0.25">
      <c r="A38" s="57" t="s">
        <v>60</v>
      </c>
      <c r="B38" s="140"/>
      <c r="C38" s="58">
        <v>0.95</v>
      </c>
      <c r="D38" s="59">
        <v>4.6100000000000003</v>
      </c>
      <c r="E38" s="89"/>
      <c r="F38" s="90"/>
      <c r="G38" s="89" t="s">
        <v>212</v>
      </c>
    </row>
    <row r="39" spans="1:7" ht="15.75" customHeight="1" x14ac:dyDescent="0.25">
      <c r="G39" s="43"/>
    </row>
  </sheetData>
  <sortState ref="A2:D38">
    <sortCondition ref="A2:A38"/>
  </sortState>
  <pageMargins left="0.75" right="0.75" top="1" bottom="1" header="0.5" footer="0.5"/>
  <pageSetup paperSize="9"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45</vt:i4>
      </vt:variant>
    </vt:vector>
  </HeadingPairs>
  <TitlesOfParts>
    <vt:vector size="60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IYCF cost</vt:lpstr>
      <vt:lpstr>Program dependencies</vt:lpstr>
      <vt:lpstr>Reference programs</vt:lpstr>
      <vt:lpstr>Incidence of conditions</vt:lpstr>
      <vt:lpstr>Programs target population</vt:lpstr>
      <vt:lpstr>Programs family planning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Avril Dawn Kaplan</cp:lastModifiedBy>
  <dcterms:created xsi:type="dcterms:W3CDTF">2017-08-01T10:42:13Z</dcterms:created>
  <dcterms:modified xsi:type="dcterms:W3CDTF">2018-11-06T17:42:05Z</dcterms:modified>
</cp:coreProperties>
</file>