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7FE4D762-64E6-4E9D-996F-73753CAD05C9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<sst xmlns="http://schemas.openxmlformats.org/spreadsheetml/2006/main" count="434" uniqueCount="259">
  <si>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</si>
  <si>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</si>
  <si>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</si>
  <si>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</si>
  <si>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</si>
  <si>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</si>
  <si>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</si>
  <si>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</si>
  <si>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</si>
  <si>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</si>
  <si>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</si>
  <si>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</si>
  <si>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</si>
  <si>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</si>
  <si>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</si>
  <si>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</si>
  <si>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</si>
  <si>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</si>
  <si>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</si>
  <si>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</si>
  <si>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</si>
  <si>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</si>
  <si>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</si>
  <si>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</si>
  <si>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</si>
  <si>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</si>
  <si>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</si>
  <si>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</si>
  <si>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</si>
  <si>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</si>
  <si>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</si>
  <si>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</si>
  <si>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</si>
  <si>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</si>
  <si>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</si>
  <si>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</si>
  <si>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</si>
  <si>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</si>
  <si>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</si>
  <si>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</si>
  <si>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</si>
  <si>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</si>
  <si>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</si>
  <si>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</si>
  <si>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</si>
  <si>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</si>
  <si>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</si>
  <si>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</si>
  <si>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</si>
  <si>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</si>
  <si>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</si>
  <si>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</si>
  <si>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</si>
  <si>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</si>
  <si>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</si>
  <si>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</si>
  <si>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</si>
  <si>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</si>
  <si>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</si>
  <si>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</si>
  <si>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</si>
  <si>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</si>
  <si>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</si>
  <si>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</si>
  <si>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</si>
  <si>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</si>
  <si>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</si>
  <si>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</si>
  <si>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</si>
  <si>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</si>
  <si>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</si>
  <si>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</si>
  <si>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</si>
  <si>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</si>
  <si>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</si>
  <si>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</si>
  <si>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</si>
  <si>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</si>
  <si>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</si>
  <si>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</si>
  <si>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</si>
  <si>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</si>
  <si>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</si>
  <si>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</si>
  <si>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</si>
  <si>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</si>
  <si>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</si>
  <si>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</si>
  <si>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</si>
  <si>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</si>
  <si>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</si>
  <si>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</si>
  <si>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</si>
  <si>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</si>
  <si>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</si>
  <si>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</si>
  <si>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</si>
  <si>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</si>
  <si>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</si>
  <si>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</si>
  <si>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</si>
  <si>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</si>
  <si>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</si>
  <si>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</si>
  <si>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</si>
  <si>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</si>
  <si>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</si>
  <si>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</si>
  <si>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</si>
  <si>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</si>
  <si>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</si>
  <si>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</si>
  <si>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</si>
  <si>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</si>
  <si>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</si>
  <si>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</si>
  <si>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</si>
  <si>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</si>
  <si>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</si>
  <si>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</si>
  <si>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</si>
  <si>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</si>
  <si>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</si>
  <si>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</si>
  <si>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</si>
  <si>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</si>
  <si>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</si>
  <si>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</si>
  <si>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</si>
  <si>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</si>
  <si>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</si>
  <si>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</si>
  <si>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</si>
  <si>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</si>
  <si>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</si>
  <si>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</si>
  <si>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</si>
  <si>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</si>
  <si>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</si>
  <si>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</si>
  <si>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</si>
  <si>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</si>
  <si>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</si>
  <si>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</si>
  <si>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</si>
  <si>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</si>
  <si>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</si>
  <si>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</si>
  <si>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</si>
  <si>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</si>
  <si>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</si>
  <si>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</si>
  <si>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</si>
  <si>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</si>
  <si>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</si>
  <si>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</si>
  <si>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</si>
  <si>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</si>
  <si>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</si>
  <si>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</si>
  <si>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</si>
  <si>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</si>
  <si>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</si>
  <si>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</si>
  <si>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</si>
  <si>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</si>
  <si>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</si>
  <si>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</si>
  <si>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</si>
  <si>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</si>
  <si>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</si>
  <si>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</si>
  <si>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</si>
  <si>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</si>
  <si>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</si>
  <si>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</si>
  <si>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</si>
  <si>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</si>
  <si>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</si>
  <si>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</si>
  <si>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</si>
  <si>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</si>
  <si>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</si>
  <si>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</si>
  <si>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</si>
  <si>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</si>
  <si>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</si>
  <si>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</si>
  <si>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</si>
  <si>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</si>
  <si>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</si>
  <si>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</si>
  <si>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</si>
  <si>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</si>
  <si>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</si>
  <si>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</si>
  <si>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</si>
  <si>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</si>
  <si>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</si>
  <si>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</si>
  <si>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</si>
  <si>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</si>
  <si>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</si>
  <si>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</si>
  <si>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</si>
  <si>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</si>
  <si>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</si>
  <si>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</si>
  <si>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</si>
  <si>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</si>
  <si>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</si>
  <si>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</si>
  <si>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</si>
  <si>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Haut-Uele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</si>
  <si>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</si>
  <si>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</si>
  <si>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</si>
  <si>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</si>
  <si>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</si>
  <si>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</si>
  <si>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</si>
  <si>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</si>
  <si>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</si>
  <si>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</si>
  <si>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</si>
  <si>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</si>
  <si>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</si>
  <si>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</si>
  <si>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</si>
  <si>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</si>
  <si>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</si>
  <si>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</si>
  <si>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</si>
  <si>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</si>
  <si>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</si>
  <si>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</si>
  <si>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</si>
  <si>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</si>
  <si>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</si>
  <si>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</si>
  <si>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</si>
  <si>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</si>
  <si>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</si>
  <si>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</si>
  <si>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</si>
  <si>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</si>
  <si>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</si>
  <si>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</si>
  <si>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</si>
  <si>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</si>
  <si>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</si>
  <si>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</si>
  <si>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</si>
  <si>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</si>
  <si>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</si>
  <si>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</si>
  <si>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</si>
  <si>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</si>
  <si>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Haut-Uele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</si>
</sst>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18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B4" sqref="B4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5">
        <v>0.57999999999999996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0.47899999999999998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0">
        <v>0.66449999999999998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0.46379999999999999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0.47360000000000002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0.215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0.28399999999999997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5"/>
      <c r="E17" s="112"/>
    </row>
    <row r="18" spans="1:8" ht="15" customHeight="1" x14ac:dyDescent="0.25">
      <c r="B18" s="12" t="s">
        <v>96</v>
      </c>
      <c r="C18" s="130"/>
      <c r="D18" s="145"/>
      <c r="E18" s="112"/>
    </row>
    <row r="19" spans="1:8" ht="15" customHeight="1" x14ac:dyDescent="0.25">
      <c r="B19" s="12" t="s">
        <v>97</v>
      </c>
      <c r="C19" s="130"/>
      <c r="D19" s="145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0.28660000000000002</v>
      </c>
      <c r="D23" s="146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0.47420000000000001</v>
      </c>
      <c r="D24" s="146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0.22509999999999999</v>
      </c>
      <c r="D25" s="146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1.41E-2</v>
      </c>
      <c r="D26" s="146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2">
        <v>0.28599999999999998</v>
      </c>
      <c r="D29" s="146" t="s">
        <v>216</v>
      </c>
      <c r="E29" s="141"/>
      <c r="F29" s="98"/>
    </row>
    <row r="30" spans="1:8" ht="14.25" customHeight="1" x14ac:dyDescent="0.35">
      <c r="A30" s="107"/>
      <c r="B30" s="34" t="s">
        <v>76</v>
      </c>
      <c r="C30" s="132">
        <v>5.67E-2</v>
      </c>
      <c r="D30" s="146"/>
      <c r="E30" s="142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2">
        <v>0.1084</v>
      </c>
      <c r="D31" s="146"/>
      <c r="E31" s="142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2">
        <v>0.54890000000000005</v>
      </c>
      <c r="D32" s="146"/>
      <c r="E32" s="143"/>
      <c r="F32" s="98"/>
    </row>
    <row r="33" spans="1:7" ht="13" x14ac:dyDescent="0.25">
      <c r="B33" s="36" t="s">
        <v>130</v>
      </c>
      <c r="C33" s="134"/>
    </row>
    <row r="34" spans="1:7" ht="15" customHeight="1" x14ac:dyDescent="0.25">
      <c r="C34" s="134"/>
    </row>
    <row r="35" spans="1:7" ht="15" customHeight="1" x14ac:dyDescent="0.3">
      <c r="A35" s="4" t="s">
        <v>136</v>
      </c>
      <c r="C35" s="134"/>
    </row>
    <row r="36" spans="1:7" ht="15" customHeight="1" x14ac:dyDescent="0.25">
      <c r="A36" s="15" t="s">
        <v>74</v>
      </c>
      <c r="B36" s="9"/>
      <c r="C36" s="134"/>
      <c r="D36"/>
    </row>
    <row r="37" spans="1:7" ht="15" customHeight="1" x14ac:dyDescent="0.3">
      <c r="A37" s="107"/>
      <c r="B37" s="49" t="s">
        <v>92</v>
      </c>
      <c r="C37" s="133">
        <v>28.432400000000001</v>
      </c>
      <c r="D37" s="146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3">
        <v>76.424900000000008</v>
      </c>
      <c r="D38" s="146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3">
        <v>131.54930000000002</v>
      </c>
      <c r="D39" s="146"/>
      <c r="E39" s="125"/>
      <c r="F39" s="100"/>
      <c r="G39" s="119"/>
    </row>
    <row r="40" spans="1:7" ht="15" customHeight="1" x14ac:dyDescent="0.35">
      <c r="B40" s="19" t="s">
        <v>237</v>
      </c>
      <c r="C40" s="131">
        <v>846</v>
      </c>
      <c r="D40" s="146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4"/>
      <c r="D43" s="85"/>
      <c r="G43" s="123"/>
    </row>
    <row r="44" spans="1:7" ht="15.75" customHeight="1" x14ac:dyDescent="0.25">
      <c r="A44" s="15" t="s">
        <v>134</v>
      </c>
      <c r="C44" s="134"/>
      <c r="D44"/>
    </row>
    <row r="45" spans="1:7" ht="15.75" customHeight="1" x14ac:dyDescent="0.25">
      <c r="B45" s="19" t="s">
        <v>9</v>
      </c>
      <c r="C45" s="130">
        <v>1.9099999999999999E-2</v>
      </c>
      <c r="D45" s="147" t="s">
        <v>241</v>
      </c>
      <c r="E45" s="144" t="s">
        <v>256</v>
      </c>
    </row>
    <row r="46" spans="1:7" ht="15.75" customHeight="1" x14ac:dyDescent="0.25">
      <c r="B46" s="19" t="s">
        <v>11</v>
      </c>
      <c r="C46" s="130">
        <v>9.98E-2</v>
      </c>
      <c r="D46" s="147"/>
      <c r="E46" s="144"/>
    </row>
    <row r="47" spans="1:7" ht="15.75" customHeight="1" x14ac:dyDescent="0.25">
      <c r="B47" s="19" t="s">
        <v>12</v>
      </c>
      <c r="C47" s="130">
        <v>0.2</v>
      </c>
      <c r="D47" s="147"/>
      <c r="E47" s="144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7" t="s">
        <v>242</v>
      </c>
      <c r="E51" s="144" t="s">
        <v>257</v>
      </c>
    </row>
    <row r="52" spans="1:7" ht="15" customHeight="1" x14ac:dyDescent="0.25">
      <c r="B52" s="19" t="s">
        <v>126</v>
      </c>
      <c r="C52" s="7">
        <v>3.3</v>
      </c>
      <c r="D52" s="147"/>
      <c r="E52" s="144"/>
    </row>
    <row r="53" spans="1:7" ht="15.75" customHeight="1" x14ac:dyDescent="0.25">
      <c r="B53" s="19" t="s">
        <v>127</v>
      </c>
      <c r="C53" s="7">
        <v>3.3</v>
      </c>
      <c r="D53" s="147"/>
      <c r="E53" s="144"/>
    </row>
    <row r="54" spans="1:7" ht="15.75" customHeight="1" x14ac:dyDescent="0.25">
      <c r="B54" s="19" t="s">
        <v>128</v>
      </c>
      <c r="C54" s="7">
        <v>3.3</v>
      </c>
      <c r="D54" s="147"/>
      <c r="E54" s="144"/>
    </row>
    <row r="55" spans="1:7" ht="15.75" customHeight="1" x14ac:dyDescent="0.25">
      <c r="B55" s="19" t="s">
        <v>129</v>
      </c>
      <c r="C55" s="7">
        <v>3.3</v>
      </c>
      <c r="D55" s="147"/>
      <c r="E55" s="144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4.19E-2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0.218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8.0000000000000002E-3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0.15970000000000001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0.26229999999999998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0.22470000000000001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0.21210000000000001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0.218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0.77859999999999996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5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5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5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5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5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0.17684965999999999</v>
      </c>
      <c r="C3" s="30">
        <f>frac_mam_1_5months * 2.6</f>
        <v>0.17684965999999999</v>
      </c>
      <c r="D3" s="30">
        <f>frac_mam_6_11months * 2.6</f>
        <v>9.6340660000000009E-2</v>
      </c>
      <c r="E3" s="30">
        <f>frac_mam_12_23months * 2.6</f>
        <v>0.15810522000000002</v>
      </c>
      <c r="F3" s="30">
        <f>frac_mam_24_59months * 2.6</f>
        <v>6.0746920000000003E-2</v>
      </c>
    </row>
    <row r="4" spans="1:6" ht="15.75" customHeight="1" x14ac:dyDescent="0.25">
      <c r="A4" s="3" t="s">
        <v>66</v>
      </c>
      <c r="B4" s="30">
        <f>frac_sam_1month * 2.6</f>
        <v>9.0594400000000005E-2</v>
      </c>
      <c r="C4" s="30">
        <f>frac_sam_1_5months * 2.6</f>
        <v>9.0594400000000005E-2</v>
      </c>
      <c r="D4" s="30">
        <f>frac_sam_6_11months * 2.6</f>
        <v>7.7256140000000001E-2</v>
      </c>
      <c r="E4" s="30">
        <f>frac_sam_12_23months * 2.6</f>
        <v>3.6137920000000004E-2</v>
      </c>
      <c r="F4" s="30">
        <f>frac_sam_24_59months * 2.6</f>
        <v>0.13291069999999999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0.57999999999999996</v>
      </c>
      <c r="E2" s="40">
        <f>food_insecure</f>
        <v>0.57999999999999996</v>
      </c>
      <c r="F2" s="40">
        <f>food_insecure</f>
        <v>0.57999999999999996</v>
      </c>
      <c r="G2" s="40">
        <f>food_insecure</f>
        <v>0.57999999999999996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0.57999999999999996</v>
      </c>
      <c r="F5" s="40">
        <f>food_insecure</f>
        <v>0.57999999999999996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0.57999999999999996</v>
      </c>
      <c r="F8" s="40">
        <f>food_insecure</f>
        <v>0.57999999999999996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0.215</v>
      </c>
      <c r="E9" s="40">
        <f>IF(ISBLANK(comm_deliv), frac_children_health_facility,1)</f>
        <v>0.215</v>
      </c>
      <c r="F9" s="40">
        <f>IF(ISBLANK(comm_deliv), frac_children_health_facility,1)</f>
        <v>0.215</v>
      </c>
      <c r="G9" s="40">
        <f>IF(ISBLANK(comm_deliv), frac_children_health_facility,1)</f>
        <v>0.215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0.57999999999999996</v>
      </c>
      <c r="I14" s="40">
        <f>food_insecure</f>
        <v>0.57999999999999996</v>
      </c>
      <c r="J14" s="40">
        <f>food_insecure</f>
        <v>0.57999999999999996</v>
      </c>
      <c r="K14" s="40">
        <f>food_insecure</f>
        <v>0.57999999999999996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0.47360000000000002</v>
      </c>
      <c r="I17" s="40">
        <f>frac_PW_health_facility</f>
        <v>0.47360000000000002</v>
      </c>
      <c r="J17" s="40">
        <f>frac_PW_health_facility</f>
        <v>0.47360000000000002</v>
      </c>
      <c r="K17" s="40">
        <f>frac_PW_health_facility</f>
        <v>0.47360000000000002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0.47899999999999998</v>
      </c>
      <c r="I18" s="40">
        <f>frac_malaria_risk</f>
        <v>0.47899999999999998</v>
      </c>
      <c r="J18" s="40">
        <f>frac_malaria_risk</f>
        <v>0.47899999999999998</v>
      </c>
      <c r="K18" s="40">
        <f>frac_malaria_risk</f>
        <v>0.47899999999999998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0.32804716</v>
      </c>
      <c r="M24" s="40">
        <f>(1-food_insecure)*(0.49)+food_insecure*(0.7)</f>
        <v>0.61180000000000001</v>
      </c>
      <c r="N24" s="40">
        <f>(1-food_insecure)*(0.49)+food_insecure*(0.7)</f>
        <v>0.61180000000000001</v>
      </c>
      <c r="O24" s="40">
        <f>(1-food_insecure)*(0.49)+food_insecure*(0.7)</f>
        <v>0.61180000000000001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0.14059164000000002</v>
      </c>
      <c r="M25" s="40">
        <f>(1-food_insecure)*(0.21)+food_insecure*(0.3)</f>
        <v>0.26219999999999999</v>
      </c>
      <c r="N25" s="40">
        <f>(1-food_insecure)*(0.21)+food_insecure*(0.3)</f>
        <v>0.26219999999999999</v>
      </c>
      <c r="O25" s="40">
        <f>(1-food_insecure)*(0.21)+food_insecure*(0.3)</f>
        <v>0.26219999999999999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6.7561200000000002E-2</v>
      </c>
      <c r="M26" s="40">
        <f>(1-food_insecure)*(0.3)</f>
        <v>0.126</v>
      </c>
      <c r="N26" s="40">
        <f>(1-food_insecure)*(0.3)</f>
        <v>0.126</v>
      </c>
      <c r="O26" s="40">
        <f>(1-food_insecure)*(0.3)</f>
        <v>0.126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0.46379999999999999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0.47899999999999998</v>
      </c>
      <c r="D33" s="40">
        <f t="shared" si="3"/>
        <v>0.47899999999999998</v>
      </c>
      <c r="E33" s="40">
        <f t="shared" si="3"/>
        <v>0.47899999999999998</v>
      </c>
      <c r="F33" s="40">
        <f t="shared" si="3"/>
        <v>0.47899999999999998</v>
      </c>
      <c r="G33" s="40">
        <f t="shared" si="3"/>
        <v>0.47899999999999998</v>
      </c>
      <c r="H33" s="40">
        <f t="shared" si="3"/>
        <v>0.47899999999999998</v>
      </c>
      <c r="I33" s="40">
        <f t="shared" si="3"/>
        <v>0.47899999999999998</v>
      </c>
      <c r="J33" s="40">
        <f t="shared" si="3"/>
        <v>0.47899999999999998</v>
      </c>
      <c r="K33" s="40">
        <f t="shared" si="3"/>
        <v>0.47899999999999998</v>
      </c>
      <c r="L33" s="40">
        <f t="shared" si="3"/>
        <v>0.47899999999999998</v>
      </c>
      <c r="M33" s="40">
        <f t="shared" si="3"/>
        <v>0.47899999999999998</v>
      </c>
      <c r="N33" s="40">
        <f t="shared" si="3"/>
        <v>0.47899999999999998</v>
      </c>
      <c r="O33" s="40">
        <f t="shared" si="3"/>
        <v>0.47899999999999998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77169.600000000006</v>
      </c>
      <c r="C2" s="81">
        <v>292000</v>
      </c>
      <c r="D2" s="81">
        <v>102000</v>
      </c>
      <c r="E2" s="81">
        <v>153000</v>
      </c>
      <c r="F2" s="81">
        <v>116000</v>
      </c>
      <c r="G2" s="81">
        <v>81000</v>
      </c>
      <c r="H2" s="25">
        <f t="shared" ref="H2:H40" si="0">D2+E2+F2+G2</f>
        <v>452000</v>
      </c>
      <c r="I2" s="25">
        <f>(B2 + stillbirth*B2/(1000-stillbirth))/(1-abortion)</f>
        <v>91187.369213628059</v>
      </c>
      <c r="J2" s="25">
        <f>H2-I2</f>
        <v>360812.63078637194</v>
      </c>
    </row>
    <row r="3" spans="1:10" ht="15.75" customHeight="1" x14ac:dyDescent="0.25">
      <c r="A3" s="9">
        <v>2016</v>
      </c>
      <c r="B3" s="80">
        <v>79212.519263261405</v>
      </c>
      <c r="C3" s="81">
        <v>299331.17718660476</v>
      </c>
      <c r="D3" s="81">
        <v>105938.96989697052</v>
      </c>
      <c r="E3" s="81">
        <v>158003.46281323518</v>
      </c>
      <c r="F3" s="81">
        <v>119940.60296563728</v>
      </c>
      <c r="G3" s="81">
        <v>83532.301098776588</v>
      </c>
      <c r="H3" s="25">
        <f t="shared" si="0"/>
        <v>467415.33677461953</v>
      </c>
      <c r="I3" s="25">
        <f t="shared" ref="I3:I40" si="1">(B3 + stillbirth*B3/(1000-stillbirth))/(1-abortion)</f>
        <v>93601.382414845255</v>
      </c>
      <c r="J3" s="25">
        <f t="shared" ref="J3:J15" si="2">H3-I3</f>
        <v>373813.95435977424</v>
      </c>
    </row>
    <row r="4" spans="1:10" ht="15.75" customHeight="1" x14ac:dyDescent="0.25">
      <c r="A4" s="9">
        <v>2017</v>
      </c>
      <c r="B4" s="80">
        <v>81309.520951677332</v>
      </c>
      <c r="C4" s="81">
        <v>306846.41656136495</v>
      </c>
      <c r="D4" s="81">
        <v>110030.0523806983</v>
      </c>
      <c r="E4" s="81">
        <v>163170.55072531628</v>
      </c>
      <c r="F4" s="81">
        <v>124015.07103241931</v>
      </c>
      <c r="G4" s="81">
        <v>86143.769467366335</v>
      </c>
      <c r="H4" s="25">
        <f t="shared" si="0"/>
        <v>483359.44360580022</v>
      </c>
      <c r="I4" s="25">
        <f t="shared" si="1"/>
        <v>96079.302051634659</v>
      </c>
      <c r="J4" s="25">
        <f t="shared" si="2"/>
        <v>387280.14155416557</v>
      </c>
    </row>
    <row r="5" spans="1:10" ht="15.75" customHeight="1" x14ac:dyDescent="0.25">
      <c r="A5" s="9">
        <v>2018</v>
      </c>
      <c r="B5" s="80">
        <v>83462.036795205582</v>
      </c>
      <c r="C5" s="81">
        <v>314550.33933152282</v>
      </c>
      <c r="D5" s="81">
        <v>114279.12163647928</v>
      </c>
      <c r="E5" s="81">
        <v>168506.61466498443</v>
      </c>
      <c r="F5" s="81">
        <v>128227.95169357509</v>
      </c>
      <c r="G5" s="81">
        <v>88836.880110267186</v>
      </c>
      <c r="H5" s="25">
        <f t="shared" si="0"/>
        <v>499850.56810530595</v>
      </c>
      <c r="I5" s="25">
        <f t="shared" si="1"/>
        <v>98622.819926056647</v>
      </c>
      <c r="J5" s="25">
        <f t="shared" si="2"/>
        <v>401227.74817924929</v>
      </c>
    </row>
    <row r="6" spans="1:10" ht="15.75" customHeight="1" x14ac:dyDescent="0.25">
      <c r="A6" s="9">
        <v>2019</v>
      </c>
      <c r="B6" s="80">
        <v>85553.276782824294</v>
      </c>
      <c r="C6" s="81">
        <v>322343.59922074672</v>
      </c>
      <c r="D6" s="81">
        <v>118720.40202154139</v>
      </c>
      <c r="E6" s="81">
        <v>174109.34955749469</v>
      </c>
      <c r="F6" s="81">
        <v>132614.09415651902</v>
      </c>
      <c r="G6" s="81">
        <v>91758.139208301218</v>
      </c>
      <c r="H6" s="25">
        <f t="shared" si="0"/>
        <v>517201.98494385625</v>
      </c>
      <c r="I6" s="25">
        <f t="shared" si="1"/>
        <v>101093.93125571613</v>
      </c>
      <c r="J6" s="25">
        <f t="shared" si="2"/>
        <v>416108.05368814012</v>
      </c>
    </row>
    <row r="7" spans="1:10" ht="15.75" customHeight="1" x14ac:dyDescent="0.25">
      <c r="A7" s="9">
        <v>2020</v>
      </c>
      <c r="B7" s="80">
        <v>87607.11652691575</v>
      </c>
      <c r="C7" s="81">
        <v>330270.13148670126</v>
      </c>
      <c r="D7" s="81">
        <v>123340.46197838819</v>
      </c>
      <c r="E7" s="81">
        <v>180030.93406208398</v>
      </c>
      <c r="F7" s="81">
        <v>137147.42204238963</v>
      </c>
      <c r="G7" s="81">
        <v>95143.245618476503</v>
      </c>
      <c r="H7" s="25">
        <f t="shared" si="0"/>
        <v>535662.06370133837</v>
      </c>
      <c r="I7" s="25">
        <f t="shared" si="1"/>
        <v>103520.84863056439</v>
      </c>
      <c r="J7" s="25">
        <f t="shared" si="2"/>
        <v>432141.21507077396</v>
      </c>
    </row>
    <row r="8" spans="1:10" ht="15.75" customHeight="1" x14ac:dyDescent="0.25">
      <c r="A8" s="9">
        <v>2021</v>
      </c>
      <c r="B8" s="80">
        <v>89823.520384354473</v>
      </c>
      <c r="C8" s="81">
        <v>338216.31624273176</v>
      </c>
      <c r="D8" s="81">
        <v>128113.15087150109</v>
      </c>
      <c r="E8" s="81">
        <v>186305.46919226935</v>
      </c>
      <c r="F8" s="81">
        <v>141817.22942408978</v>
      </c>
      <c r="G8" s="81">
        <v>98382.741236600021</v>
      </c>
      <c r="H8" s="25">
        <f t="shared" si="0"/>
        <v>554618.5907244602</v>
      </c>
      <c r="I8" s="25">
        <f t="shared" si="1"/>
        <v>106139.85970325071</v>
      </c>
      <c r="J8" s="25">
        <f t="shared" si="2"/>
        <v>448478.7310212095</v>
      </c>
    </row>
    <row r="9" spans="1:10" ht="15.75" customHeight="1" x14ac:dyDescent="0.25">
      <c r="A9" s="9">
        <v>2022</v>
      </c>
      <c r="B9" s="80">
        <v>92012.850566811641</v>
      </c>
      <c r="C9" s="81">
        <v>346756.24504595116</v>
      </c>
      <c r="D9" s="81">
        <v>133024.87881461155</v>
      </c>
      <c r="E9" s="81">
        <v>192933.41716058337</v>
      </c>
      <c r="F9" s="81">
        <v>146620.08815698465</v>
      </c>
      <c r="G9" s="81">
        <v>101767.64668550869</v>
      </c>
      <c r="H9" s="25">
        <f t="shared" si="0"/>
        <v>574346.03081768821</v>
      </c>
      <c r="I9" s="25">
        <f t="shared" si="1"/>
        <v>108726.87919898819</v>
      </c>
      <c r="J9" s="25">
        <f t="shared" si="2"/>
        <v>465619.15161870001</v>
      </c>
    </row>
    <row r="10" spans="1:10" ht="15.75" customHeight="1" x14ac:dyDescent="0.25">
      <c r="A10" s="9">
        <v>2023</v>
      </c>
      <c r="B10" s="80">
        <v>94246.880387583704</v>
      </c>
      <c r="C10" s="81">
        <v>355298.62517255958</v>
      </c>
      <c r="D10" s="81">
        <v>138038.86075634428</v>
      </c>
      <c r="E10" s="81">
        <v>199947.46666447123</v>
      </c>
      <c r="F10" s="81">
        <v>151539.70050428589</v>
      </c>
      <c r="G10" s="81">
        <v>105303.73242443011</v>
      </c>
      <c r="H10" s="25">
        <f t="shared" si="0"/>
        <v>594829.76034953143</v>
      </c>
      <c r="I10" s="25">
        <f t="shared" si="1"/>
        <v>111366.71797100459</v>
      </c>
      <c r="J10" s="25">
        <f t="shared" si="2"/>
        <v>483463.04237852682</v>
      </c>
    </row>
    <row r="11" spans="1:10" ht="15.75" customHeight="1" x14ac:dyDescent="0.25">
      <c r="A11" s="9">
        <v>2024</v>
      </c>
      <c r="B11" s="80">
        <v>96666.129299505439</v>
      </c>
      <c r="C11" s="81">
        <v>364099.7561013411</v>
      </c>
      <c r="D11" s="81">
        <v>143117.15056766215</v>
      </c>
      <c r="E11" s="81">
        <v>207383.00264115166</v>
      </c>
      <c r="F11" s="81">
        <v>156575.95406780875</v>
      </c>
      <c r="G11" s="81">
        <v>108990.94103585952</v>
      </c>
      <c r="H11" s="25">
        <f t="shared" si="0"/>
        <v>616067.04831248207</v>
      </c>
      <c r="I11" s="25">
        <f t="shared" si="1"/>
        <v>114225.42066936087</v>
      </c>
      <c r="J11" s="25">
        <f t="shared" si="2"/>
        <v>501841.62764312117</v>
      </c>
    </row>
    <row r="12" spans="1:10" ht="15.75" customHeight="1" x14ac:dyDescent="0.25">
      <c r="A12" s="9">
        <v>2025</v>
      </c>
      <c r="B12" s="80">
        <v>99177.096693758707</v>
      </c>
      <c r="C12" s="81">
        <v>373258.4869241704</v>
      </c>
      <c r="D12" s="81">
        <v>148236.68502410169</v>
      </c>
      <c r="E12" s="81">
        <v>215259.64344478655</v>
      </c>
      <c r="F12" s="81">
        <v>161759.84264699731</v>
      </c>
      <c r="G12" s="81">
        <v>112813.54012349479</v>
      </c>
      <c r="H12" s="25">
        <f t="shared" si="0"/>
        <v>638069.7112393803</v>
      </c>
      <c r="I12" s="25">
        <f t="shared" si="1"/>
        <v>117192.50240702899</v>
      </c>
      <c r="J12" s="25">
        <f t="shared" si="2"/>
        <v>520877.20883235132</v>
      </c>
    </row>
    <row r="13" spans="1:10" ht="15.75" customHeight="1" x14ac:dyDescent="0.25">
      <c r="A13" s="9">
        <v>2026</v>
      </c>
      <c r="B13" s="80">
        <v>101621.05124957702</v>
      </c>
      <c r="C13" s="81">
        <v>382558.89166799519</v>
      </c>
      <c r="D13" s="81">
        <v>153355.34867229493</v>
      </c>
      <c r="E13" s="81">
        <v>223532.6058166608</v>
      </c>
      <c r="F13" s="81">
        <v>167099.43081160719</v>
      </c>
      <c r="G13" s="81">
        <v>116759.3284675761</v>
      </c>
      <c r="H13" s="25">
        <f t="shared" si="0"/>
        <v>660746.71376813902</v>
      </c>
      <c r="I13" s="25">
        <f t="shared" si="1"/>
        <v>120080.39850112218</v>
      </c>
      <c r="J13" s="25">
        <f t="shared" si="2"/>
        <v>540666.31526701688</v>
      </c>
    </row>
    <row r="14" spans="1:10" ht="15.75" customHeight="1" x14ac:dyDescent="0.25">
      <c r="A14" s="9">
        <v>2027</v>
      </c>
      <c r="B14" s="80">
        <v>104364.64718206215</v>
      </c>
      <c r="C14" s="81">
        <v>392297.55951140355</v>
      </c>
      <c r="D14" s="81">
        <v>158457.1766943924</v>
      </c>
      <c r="E14" s="81">
        <v>232162.75576234667</v>
      </c>
      <c r="F14" s="81">
        <v>172633.6364331072</v>
      </c>
      <c r="G14" s="81">
        <v>120848.05768973818</v>
      </c>
      <c r="H14" s="25">
        <f t="shared" si="0"/>
        <v>684101.62657958455</v>
      </c>
      <c r="I14" s="25">
        <f t="shared" si="1"/>
        <v>123322.36548382688</v>
      </c>
      <c r="J14" s="25">
        <f t="shared" si="2"/>
        <v>560779.26109575771</v>
      </c>
    </row>
    <row r="15" spans="1:10" ht="15.75" customHeight="1" x14ac:dyDescent="0.25">
      <c r="A15" s="9">
        <v>2028</v>
      </c>
      <c r="B15" s="80">
        <v>106917.06732664784</v>
      </c>
      <c r="C15" s="81">
        <v>402285.8433108516</v>
      </c>
      <c r="D15" s="81">
        <v>163528.57920412562</v>
      </c>
      <c r="E15" s="81">
        <v>241089.97997413084</v>
      </c>
      <c r="F15" s="81">
        <v>178406.43530127977</v>
      </c>
      <c r="G15" s="81">
        <v>125090.92420340775</v>
      </c>
      <c r="H15" s="25">
        <f t="shared" si="0"/>
        <v>708115.91868294391</v>
      </c>
      <c r="I15" s="25">
        <f t="shared" si="1"/>
        <v>126338.4298163184</v>
      </c>
      <c r="J15" s="25">
        <f t="shared" si="2"/>
        <v>581777.48886662547</v>
      </c>
    </row>
    <row r="16" spans="1:10" ht="15.75" customHeight="1" x14ac:dyDescent="0.25">
      <c r="A16" s="9">
        <v>2029</v>
      </c>
      <c r="B16" s="8">
        <v>109601.70660892517</v>
      </c>
      <c r="C16" s="24">
        <v>412495.70998348034</v>
      </c>
      <c r="D16" s="24">
        <v>168553.35389048711</v>
      </c>
      <c r="E16" s="24">
        <v>250265.02713881625</v>
      </c>
      <c r="F16" s="24">
        <v>184465.23135054208</v>
      </c>
      <c r="G16" s="24">
        <v>129495.16261418362</v>
      </c>
      <c r="H16" s="25">
        <f t="shared" si="0"/>
        <v>732778.77499402908</v>
      </c>
      <c r="I16" s="25">
        <f t="shared" si="1"/>
        <v>129510.73074101456</v>
      </c>
      <c r="J16" s="25">
        <f t="shared" ref="J16:J40" si="3">H16-I16</f>
        <v>603268.04425301449</v>
      </c>
    </row>
    <row r="17" spans="1:10" ht="15.75" customHeight="1" x14ac:dyDescent="0.25">
      <c r="A17" s="9">
        <v>2030</v>
      </c>
      <c r="B17" s="8">
        <v>113407.5719908891</v>
      </c>
      <c r="C17" s="24">
        <v>423767.98440320161</v>
      </c>
      <c r="D17" s="24">
        <v>173463.52493400566</v>
      </c>
      <c r="E17" s="24">
        <v>259655.02880963948</v>
      </c>
      <c r="F17" s="24">
        <v>190868.30303968568</v>
      </c>
      <c r="G17" s="24">
        <v>134048.51428480115</v>
      </c>
      <c r="H17" s="25">
        <f t="shared" si="0"/>
        <v>758035.37106813188</v>
      </c>
      <c r="I17" s="25">
        <f t="shared" si="1"/>
        <v>134007.92719871955</v>
      </c>
      <c r="J17" s="25">
        <f t="shared" si="3"/>
        <v>624027.44386941229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8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9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9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9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9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9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9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9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9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9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9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9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9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9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9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9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9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9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9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9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9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9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9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9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9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9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49"/>
  <sheetViews>
    <sheetView topLeftCell="A6" zoomScale="98" zoomScaleNormal="60" workbookViewId="0">
      <selection activeCell="F15" sqref="F15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0.73939909999999998</v>
      </c>
      <c r="D2" s="129">
        <v>0.73939909999999998</v>
      </c>
      <c r="E2" s="129">
        <v>0.73622460000000001</v>
      </c>
      <c r="F2" s="129">
        <v>0.2023742</v>
      </c>
      <c r="G2" s="129">
        <v>0.27600599999999997</v>
      </c>
      <c r="H2" s="148" t="s">
        <v>216</v>
      </c>
    </row>
    <row r="3" spans="1:15" ht="15.75" customHeight="1" x14ac:dyDescent="0.25">
      <c r="A3" s="5"/>
      <c r="B3" s="14" t="s">
        <v>119</v>
      </c>
      <c r="C3" s="129">
        <v>2.5426600000000001E-2</v>
      </c>
      <c r="D3" s="129">
        <v>2.5426600000000001E-2</v>
      </c>
      <c r="E3" s="129">
        <v>0.1051535</v>
      </c>
      <c r="F3" s="129">
        <v>0.30645129999999998</v>
      </c>
      <c r="G3" s="129">
        <v>0.2567624</v>
      </c>
      <c r="H3" s="148"/>
    </row>
    <row r="4" spans="1:15" ht="15.75" customHeight="1" x14ac:dyDescent="0.25">
      <c r="A4" s="5"/>
      <c r="B4" s="14" t="s">
        <v>117</v>
      </c>
      <c r="C4" s="129">
        <v>0.1702467</v>
      </c>
      <c r="D4" s="129">
        <v>0.1702467</v>
      </c>
      <c r="E4" s="129">
        <v>1.9337300000000002E-2</v>
      </c>
      <c r="F4" s="129">
        <v>0.2377765</v>
      </c>
      <c r="G4" s="129">
        <v>0.1764666</v>
      </c>
      <c r="H4" s="148"/>
    </row>
    <row r="5" spans="1:15" ht="15.75" customHeight="1" x14ac:dyDescent="0.25">
      <c r="A5" s="5"/>
      <c r="B5" s="14" t="s">
        <v>120</v>
      </c>
      <c r="C5" s="129">
        <v>6.4927600000000002E-2</v>
      </c>
      <c r="D5" s="129">
        <v>6.4927600000000002E-2</v>
      </c>
      <c r="E5" s="129">
        <v>0.13928470000000001</v>
      </c>
      <c r="F5" s="129">
        <v>0.25339810000000001</v>
      </c>
      <c r="G5" s="129">
        <v>0.29076489999999999</v>
      </c>
      <c r="H5" s="148"/>
      <c r="I5" s="104"/>
    </row>
    <row r="6" spans="1:15" ht="15.75" customHeight="1" x14ac:dyDescent="0.25">
      <c r="B6" s="17"/>
      <c r="C6" s="33">
        <f>SUM(C2:C5)</f>
        <v>0.99999999999999989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0.89713699999999996</v>
      </c>
      <c r="D8" s="129">
        <v>0.89713699999999996</v>
      </c>
      <c r="E8" s="129">
        <v>0.86163369999999995</v>
      </c>
      <c r="F8" s="129">
        <v>0.64383880000000004</v>
      </c>
      <c r="G8" s="129">
        <v>0.81656249999999997</v>
      </c>
      <c r="H8" s="148" t="s">
        <v>216</v>
      </c>
    </row>
    <row r="9" spans="1:15" ht="15.75" customHeight="1" x14ac:dyDescent="0.25">
      <c r="B9" s="9" t="s">
        <v>122</v>
      </c>
      <c r="C9" s="129">
        <v>0</v>
      </c>
      <c r="D9" s="129">
        <v>0</v>
      </c>
      <c r="E9" s="129">
        <v>7.1598300000000004E-2</v>
      </c>
      <c r="F9" s="129">
        <v>0.28145239999999999</v>
      </c>
      <c r="G9" s="129">
        <v>0.1089537</v>
      </c>
      <c r="H9" s="148"/>
    </row>
    <row r="10" spans="1:15" ht="15.75" customHeight="1" x14ac:dyDescent="0.25">
      <c r="B10" s="9" t="s">
        <v>123</v>
      </c>
      <c r="C10" s="129">
        <v>6.8019099999999999E-2</v>
      </c>
      <c r="D10" s="129">
        <v>6.8019099999999999E-2</v>
      </c>
      <c r="E10" s="129">
        <v>3.70541E-2</v>
      </c>
      <c r="F10" s="129">
        <v>6.0809700000000001E-2</v>
      </c>
      <c r="G10" s="129">
        <v>2.3364200000000002E-2</v>
      </c>
      <c r="H10" s="148"/>
    </row>
    <row r="11" spans="1:15" ht="15.75" customHeight="1" x14ac:dyDescent="0.25">
      <c r="B11" s="9" t="s">
        <v>124</v>
      </c>
      <c r="C11" s="129">
        <v>3.4844E-2</v>
      </c>
      <c r="D11" s="129">
        <v>3.4844E-2</v>
      </c>
      <c r="E11" s="129">
        <v>2.9713900000000001E-2</v>
      </c>
      <c r="F11" s="129">
        <v>1.38992E-2</v>
      </c>
      <c r="G11" s="129">
        <v>5.1119499999999998E-2</v>
      </c>
      <c r="H11" s="148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32">
        <v>0.8972</v>
      </c>
      <c r="F14" s="129">
        <v>0.80269999999999997</v>
      </c>
      <c r="G14" s="129">
        <v>0.65890000000000004</v>
      </c>
      <c r="H14" s="138">
        <v>7.5399999999999995E-2</v>
      </c>
      <c r="I14" s="138">
        <v>0.52739999999999998</v>
      </c>
      <c r="J14" s="138">
        <v>0.11990000000000001</v>
      </c>
      <c r="K14" s="138">
        <v>0</v>
      </c>
      <c r="L14" s="138">
        <v>0.2278</v>
      </c>
      <c r="M14" s="138">
        <v>0.35370000000000001</v>
      </c>
      <c r="N14" s="138">
        <v>0.3286</v>
      </c>
      <c r="O14" s="138">
        <v>0.32900000000000001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0.39046143999999999</v>
      </c>
      <c r="F15" s="37">
        <f t="shared" si="0"/>
        <v>0.34933503999999999</v>
      </c>
      <c r="G15" s="37">
        <f t="shared" si="0"/>
        <v>0.28675328</v>
      </c>
      <c r="H15" s="37">
        <f t="shared" si="0"/>
        <v>3.2814079999999995E-2</v>
      </c>
      <c r="I15" s="37">
        <f t="shared" si="0"/>
        <v>0.22952447999999998</v>
      </c>
      <c r="J15" s="37">
        <f t="shared" si="0"/>
        <v>5.2180480000000001E-2</v>
      </c>
      <c r="K15" s="37">
        <f t="shared" si="0"/>
        <v>0</v>
      </c>
      <c r="L15" s="37">
        <f t="shared" si="0"/>
        <v>9.9138560000000001E-2</v>
      </c>
      <c r="M15" s="37">
        <f t="shared" si="0"/>
        <v>0.15393024</v>
      </c>
      <c r="N15" s="37">
        <f t="shared" si="0"/>
        <v>0.14300672</v>
      </c>
      <c r="O15" s="37">
        <f t="shared" si="0"/>
        <v>0.1431808</v>
      </c>
    </row>
    <row r="16" spans="1:15" ht="19" customHeight="1" x14ac:dyDescent="0.3">
      <c r="B16" s="94" t="s">
        <v>211</v>
      </c>
      <c r="C16" s="150" t="s">
        <v>216</v>
      </c>
      <c r="D16" s="151"/>
      <c r="E16" s="151"/>
      <c r="F16" s="151"/>
      <c r="G16" s="151"/>
      <c r="H16" s="152" t="s">
        <v>216</v>
      </c>
      <c r="I16" s="153"/>
      <c r="J16" s="153"/>
      <c r="K16" s="153"/>
      <c r="L16" s="153"/>
      <c r="M16" s="153"/>
      <c r="N16" s="153"/>
      <c r="O16" s="153"/>
    </row>
    <row r="17" spans="3:15" ht="49.75" customHeight="1" x14ac:dyDescent="0.25">
      <c r="C17" s="10"/>
      <c r="D17" s="10"/>
      <c r="E17" s="10"/>
      <c r="F17" s="10"/>
      <c r="G17" s="10"/>
      <c r="H17" s="154"/>
      <c r="I17" s="154"/>
      <c r="J17" s="154"/>
      <c r="K17" s="154"/>
      <c r="L17" s="154"/>
      <c r="M17" s="154"/>
      <c r="N17" s="154"/>
      <c r="O17" s="154"/>
    </row>
    <row r="49" spans="14:14" ht="15.75" customHeight="1" x14ac:dyDescent="0.25">
      <c r="N49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F23" sqref="F23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0.84400699999999995</v>
      </c>
      <c r="D2" s="129">
        <v>0.52520549999999999</v>
      </c>
      <c r="E2" s="129"/>
      <c r="F2" s="129"/>
      <c r="G2" s="129"/>
      <c r="H2" s="148" t="s">
        <v>207</v>
      </c>
    </row>
    <row r="3" spans="1:8" x14ac:dyDescent="0.25">
      <c r="B3" s="50" t="s">
        <v>167</v>
      </c>
      <c r="C3" s="139">
        <v>0</v>
      </c>
      <c r="D3" s="139">
        <v>0.32589360000000001</v>
      </c>
      <c r="E3" s="139"/>
      <c r="F3" s="139"/>
      <c r="G3" s="139"/>
      <c r="H3" s="148"/>
    </row>
    <row r="4" spans="1:8" x14ac:dyDescent="0.25">
      <c r="B4" s="50" t="s">
        <v>168</v>
      </c>
      <c r="C4" s="139">
        <v>0.1559931</v>
      </c>
      <c r="D4" s="139">
        <v>0.1489009</v>
      </c>
      <c r="E4" s="132">
        <v>0.98233289999999995</v>
      </c>
      <c r="F4" s="132">
        <v>0.78248870000000004</v>
      </c>
      <c r="G4" s="132">
        <v>6.1289000000000003E-2</v>
      </c>
      <c r="H4" s="148"/>
    </row>
    <row r="5" spans="1:8" x14ac:dyDescent="0.25">
      <c r="B5" s="50" t="s">
        <v>169</v>
      </c>
      <c r="C5" s="37">
        <f>1-SUM(C2:C4)</f>
        <v>-9.9999999836342113E-8</v>
      </c>
      <c r="D5" s="37">
        <f t="shared" ref="D5:G5" si="0">1-SUM(D2:D4)</f>
        <v>0</v>
      </c>
      <c r="E5" s="37">
        <f t="shared" si="0"/>
        <v>1.7667100000000047E-2</v>
      </c>
      <c r="F5" s="37">
        <f t="shared" si="0"/>
        <v>0.21751129999999996</v>
      </c>
      <c r="G5" s="37">
        <f t="shared" si="0"/>
        <v>0.93871099999999996</v>
      </c>
      <c r="H5" s="148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107" zoomScaleNormal="60" workbookViewId="0">
      <selection activeCell="H1" sqref="H1:AK104857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156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7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29">
        <v>0.12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7" ht="15.75" customHeight="1" x14ac:dyDescent="0.3">
      <c r="A6" s="92"/>
      <c r="B6" s="129">
        <v>0.05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7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29">
        <v>0.61399999999999999</v>
      </c>
      <c r="C13" s="58">
        <v>0.95</v>
      </c>
      <c r="D13" s="59">
        <v>2</v>
      </c>
      <c r="E13" s="89" t="s">
        <v>216</v>
      </c>
      <c r="F13" s="90" t="s">
        <v>246</v>
      </c>
      <c r="G13" s="89"/>
    </row>
    <row r="14" spans="1:7" ht="15.75" customHeight="1" x14ac:dyDescent="0.3">
      <c r="A14" s="92" t="s">
        <v>57</v>
      </c>
      <c r="B14" s="129">
        <v>0.43700000000000006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7" ht="15.75" customHeight="1" x14ac:dyDescent="0.3">
      <c r="A15" s="92"/>
      <c r="B15" s="129">
        <v>0.13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</row>
    <row r="16" spans="1:7" ht="15.75" customHeight="1" x14ac:dyDescent="0.2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7" ht="15.75" customHeight="1" x14ac:dyDescent="0.3">
      <c r="A27" s="92" t="s">
        <v>84</v>
      </c>
      <c r="B27" s="129">
        <v>0.36599999999999999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7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13.850791344000001</v>
      </c>
      <c r="E29" s="89"/>
      <c r="F29" s="90"/>
      <c r="G29" s="89"/>
    </row>
    <row r="30" spans="1:7" ht="15.75" customHeight="1" x14ac:dyDescent="0.3">
      <c r="A30" s="92" t="s">
        <v>28</v>
      </c>
      <c r="B30" s="129">
        <v>0.65400000000000003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</row>
    <row r="31" spans="1:7" ht="15.75" customHeight="1" x14ac:dyDescent="0.3">
      <c r="A31" s="92"/>
      <c r="B31" s="129">
        <v>0.22500000000000001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</row>
    <row r="32" spans="1:7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7.4999999999999997E-3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2018-11-06T17:46:40Z</dcterms:modified>
</cp:coreProperties>
</file>