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05FA536E-0FD2-4D6D-B2F9-52C447ACEC6D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<sst xmlns="http://schemas.openxmlformats.org/spreadsheetml/2006/main" count="434" uniqueCount="259">
  <si>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</si>
  <si>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</si>
  <si>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</si>
  <si>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</si>
  <si>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</si>
  <si>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</si>
  <si>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</si>
  <si>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</si>
  <si>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</si>
  <si>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</si>
  <si>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</si>
  <si>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</si>
  <si>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</si>
  <si>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</si>
  <si>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</si>
  <si>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</si>
  <si>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</si>
  <si>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</si>
  <si>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</si>
  <si>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</si>
  <si>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</si>
  <si>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</si>
  <si>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</si>
  <si>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</si>
  <si>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</si>
  <si>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</si>
  <si>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</si>
  <si>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</si>
  <si>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</si>
  <si>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</si>
  <si>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</si>
  <si>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</si>
  <si>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</si>
  <si>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</si>
  <si>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</si>
  <si>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</si>
  <si>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</si>
  <si>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</si>
  <si>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</si>
  <si>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</si>
  <si>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</si>
  <si>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</si>
  <si>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</si>
  <si>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</si>
  <si>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</si>
  <si>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</si>
  <si>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</si>
  <si>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</si>
  <si>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</si>
  <si>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</si>
  <si>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</si>
  <si>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</si>
  <si>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</si>
  <si>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</si>
  <si>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</si>
  <si>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</si>
  <si>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</si>
  <si>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</si>
  <si>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</si>
  <si>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</si>
  <si>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</si>
  <si>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</si>
  <si>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</si>
  <si>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</si>
  <si>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</si>
  <si>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</si>
  <si>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</si>
  <si>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</si>
  <si>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</si>
  <si>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</si>
  <si>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</si>
  <si>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</si>
  <si>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</si>
  <si>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</si>
  <si>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</si>
  <si>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</si>
  <si>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</si>
  <si>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</si>
  <si>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</si>
  <si>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</si>
  <si>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</si>
  <si>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</si>
  <si>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</si>
  <si>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</si>
  <si>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</si>
  <si>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</si>
  <si>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</si>
  <si>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</si>
  <si>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</si>
  <si>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</si>
  <si>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</si>
  <si>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</si>
  <si>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</si>
  <si>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</si>
  <si>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</si>
  <si>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</si>
  <si>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</si>
  <si>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</si>
  <si>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</si>
  <si>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</si>
  <si>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</si>
  <si>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</si>
  <si>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</si>
  <si>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</si>
  <si>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</si>
  <si>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</si>
  <si>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</si>
  <si>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</si>
  <si>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</si>
  <si>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</si>
  <si>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</si>
  <si>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</si>
  <si>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</si>
  <si>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</si>
  <si>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</si>
  <si>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</si>
  <si>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</si>
  <si>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</si>
  <si>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</si>
  <si>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</si>
  <si>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</si>
  <si>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</si>
  <si>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</si>
  <si>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</si>
  <si>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</si>
  <si>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</si>
  <si>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</si>
  <si>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</si>
  <si>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</si>
  <si>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</si>
  <si>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</si>
  <si>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</si>
  <si>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</si>
  <si>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</si>
  <si>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</si>
  <si>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</si>
  <si>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</si>
  <si>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</si>
  <si>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</si>
  <si>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</si>
  <si>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</si>
  <si>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</si>
  <si>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</si>
  <si>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</si>
  <si>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</si>
  <si>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</si>
  <si>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</si>
  <si>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</si>
  <si>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</si>
  <si>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</si>
  <si>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</si>
  <si>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</si>
  <si>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</si>
  <si>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</si>
  <si>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</si>
  <si>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</si>
  <si>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</si>
  <si>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</si>
  <si>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</si>
  <si>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</si>
  <si>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</si>
  <si>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</si>
  <si>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</si>
  <si>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</si>
  <si>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</si>
  <si>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</si>
  <si>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</si>
  <si>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</si>
  <si>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</si>
  <si>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</si>
  <si>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</si>
  <si>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</si>
  <si>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</si>
  <si>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</si>
  <si>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</si>
  <si>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</si>
  <si>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</si>
  <si>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</si>
  <si>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</si>
  <si>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</si>
  <si>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</si>
  <si>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</si>
  <si>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</si>
  <si>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</si>
  <si>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</si>
  <si>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</si>
  <si>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</si>
  <si>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</si>
  <si>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</si>
  <si>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</si>
  <si>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</si>
  <si>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</si>
  <si>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</si>
  <si>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</si>
  <si>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</si>
  <si>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</si>
  <si>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</si>
  <si>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</si>
  <si>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</si>
  <si>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</si>
  <si>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</si>
  <si>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</si>
  <si>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</si>
  <si>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</si>
  <si>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</si>
  <si>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</si>
  <si>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</si>
  <si>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</si>
  <si>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</si>
  <si>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</si>
  <si>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</si>
  <si>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</si>
  <si>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</si>
  <si>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Ituri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</si>
  <si>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</si>
  <si>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</si>
  <si>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</si>
  <si>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</si>
  <si>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</si>
  <si>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</si>
  <si>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</si>
  <si>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</si>
  <si>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</si>
  <si>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</si>
  <si>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</si>
  <si>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</si>
  <si>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</si>
  <si>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</si>
  <si>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</si>
  <si>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</si>
  <si>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</si>
  <si>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</si>
  <si>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</si>
  <si>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</si>
  <si>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</si>
  <si>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</si>
  <si>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</si>
  <si>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</si>
  <si>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</si>
  <si>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</si>
  <si>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</si>
  <si>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</si>
  <si>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</si>
  <si>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</si>
  <si>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</si>
  <si>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</si>
  <si>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</si>
  <si>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</si>
  <si>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</si>
  <si>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</si>
  <si>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</si>
  <si>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</si>
  <si>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</si>
  <si>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</si>
  <si>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</si>
  <si>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</si>
  <si>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</si>
  <si>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</si>
  <si>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Ituri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</si>
</sst>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0" fontId="0" fillId="2" borderId="1" xfId="0" applyFont="1" applyFill="1" applyBorder="1" applyAlignment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18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B3" sqref="B3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09" t="s">
        <v>214</v>
      </c>
      <c r="E1" s="109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4">
        <v>0.57999999999999996</v>
      </c>
      <c r="D7" s="107" t="s">
        <v>203</v>
      </c>
      <c r="E7" s="111" t="s">
        <v>251</v>
      </c>
    </row>
    <row r="8" spans="1:6" ht="38.25" customHeight="1" x14ac:dyDescent="0.3">
      <c r="A8" s="106"/>
      <c r="B8" s="12" t="s">
        <v>107</v>
      </c>
      <c r="C8" s="128">
        <v>0.34799999999999998</v>
      </c>
      <c r="D8" s="107" t="s">
        <v>216</v>
      </c>
      <c r="E8" s="110" t="s">
        <v>227</v>
      </c>
    </row>
    <row r="9" spans="1:6" ht="38.25" customHeight="1" x14ac:dyDescent="0.3">
      <c r="A9" s="106"/>
      <c r="B9" s="12"/>
      <c r="C9" s="129">
        <v>0.4405</v>
      </c>
      <c r="D9" s="107" t="s">
        <v>216</v>
      </c>
      <c r="E9" s="110" t="s">
        <v>228</v>
      </c>
      <c r="F9" s="16"/>
    </row>
    <row r="10" spans="1:6" ht="15" customHeight="1" x14ac:dyDescent="0.3">
      <c r="A10" s="106"/>
      <c r="B10" s="12" t="s">
        <v>105</v>
      </c>
      <c r="C10" s="128">
        <v>0.25440000000000002</v>
      </c>
      <c r="D10" s="107" t="s">
        <v>216</v>
      </c>
      <c r="E10" s="111"/>
    </row>
    <row r="11" spans="1:6" ht="15" customHeight="1" x14ac:dyDescent="0.3">
      <c r="A11" s="106"/>
      <c r="B11" s="9" t="s">
        <v>108</v>
      </c>
      <c r="C11" s="128">
        <v>0.56120000000000003</v>
      </c>
      <c r="D11" s="107" t="s">
        <v>216</v>
      </c>
      <c r="E11" s="111" t="s">
        <v>238</v>
      </c>
    </row>
    <row r="12" spans="1:6" ht="15" customHeight="1" x14ac:dyDescent="0.3">
      <c r="A12" s="106"/>
      <c r="B12" s="9" t="s">
        <v>109</v>
      </c>
      <c r="C12" s="128">
        <v>0.47399999999999998</v>
      </c>
      <c r="D12" s="107" t="s">
        <v>216</v>
      </c>
      <c r="E12" s="111" t="s">
        <v>239</v>
      </c>
    </row>
    <row r="13" spans="1:6" ht="15" customHeight="1" x14ac:dyDescent="0.3">
      <c r="A13" s="106"/>
      <c r="B13" s="9" t="s">
        <v>110</v>
      </c>
      <c r="C13" s="128">
        <v>0.35600000000000004</v>
      </c>
      <c r="D13" s="107" t="s">
        <v>216</v>
      </c>
      <c r="E13" s="111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29">
        <v>0.59699999999999998</v>
      </c>
      <c r="D16" s="107" t="s">
        <v>249</v>
      </c>
      <c r="E16" s="111" t="s">
        <v>253</v>
      </c>
    </row>
    <row r="17" spans="1:7" ht="15" customHeight="1" x14ac:dyDescent="0.25">
      <c r="B17" s="12" t="s">
        <v>95</v>
      </c>
      <c r="C17" s="129"/>
      <c r="D17" s="145"/>
      <c r="E17" s="111"/>
    </row>
    <row r="18" spans="1:7" ht="15" customHeight="1" x14ac:dyDescent="0.25">
      <c r="B18" s="12" t="s">
        <v>96</v>
      </c>
      <c r="C18" s="129"/>
      <c r="D18" s="145"/>
      <c r="E18" s="111"/>
    </row>
    <row r="19" spans="1:7" ht="15" customHeight="1" x14ac:dyDescent="0.25">
      <c r="B19" s="12" t="s">
        <v>97</v>
      </c>
      <c r="C19" s="129"/>
      <c r="D19" s="145"/>
      <c r="E19" s="111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8">
        <v>0.24440000000000001</v>
      </c>
      <c r="D23" s="146" t="s">
        <v>216</v>
      </c>
      <c r="E23" s="112" t="s">
        <v>217</v>
      </c>
      <c r="F23" s="99"/>
    </row>
    <row r="24" spans="1:7" ht="15" customHeight="1" x14ac:dyDescent="0.35">
      <c r="A24" s="106"/>
      <c r="B24" s="22" t="s">
        <v>102</v>
      </c>
      <c r="C24" s="128">
        <v>0.49259999999999998</v>
      </c>
      <c r="D24" s="146"/>
      <c r="E24" s="112" t="s">
        <v>217</v>
      </c>
      <c r="F24" s="99"/>
    </row>
    <row r="25" spans="1:7" ht="15" customHeight="1" x14ac:dyDescent="0.35">
      <c r="A25" s="106"/>
      <c r="B25" s="22" t="s">
        <v>103</v>
      </c>
      <c r="C25" s="128">
        <v>0.23269999999999999</v>
      </c>
      <c r="D25" s="146"/>
      <c r="E25" s="112" t="s">
        <v>217</v>
      </c>
      <c r="F25" s="99"/>
    </row>
    <row r="26" spans="1:7" ht="15" customHeight="1" x14ac:dyDescent="0.35">
      <c r="A26" s="106"/>
      <c r="B26" s="22" t="s">
        <v>104</v>
      </c>
      <c r="C26" s="128">
        <v>3.0300000000000001E-2</v>
      </c>
      <c r="D26" s="146"/>
      <c r="E26" s="112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1">
        <v>0.18329999999999999</v>
      </c>
      <c r="D29" s="146" t="s">
        <v>216</v>
      </c>
      <c r="E29" s="141"/>
    </row>
    <row r="30" spans="1:7" ht="14.25" customHeight="1" x14ac:dyDescent="0.35">
      <c r="A30" s="106"/>
      <c r="B30" s="34" t="s">
        <v>76</v>
      </c>
      <c r="C30" s="131">
        <v>7.7200000000000005E-2</v>
      </c>
      <c r="D30" s="146"/>
      <c r="E30" s="142"/>
      <c r="F30" s="99"/>
      <c r="G30" s="98"/>
    </row>
    <row r="31" spans="1:7" ht="14.25" customHeight="1" x14ac:dyDescent="0.35">
      <c r="A31" s="106"/>
      <c r="B31" s="34" t="s">
        <v>77</v>
      </c>
      <c r="C31" s="131">
        <v>0.10829999999999999</v>
      </c>
      <c r="D31" s="146"/>
      <c r="E31" s="142"/>
      <c r="F31" s="99"/>
      <c r="G31" s="98"/>
    </row>
    <row r="32" spans="1:7" ht="14.25" customHeight="1" x14ac:dyDescent="0.3">
      <c r="A32" s="106"/>
      <c r="B32" s="34" t="s">
        <v>78</v>
      </c>
      <c r="C32" s="131">
        <v>0.63129999999999997</v>
      </c>
      <c r="D32" s="146"/>
      <c r="E32" s="143"/>
    </row>
    <row r="33" spans="1:6" ht="13" x14ac:dyDescent="0.25">
      <c r="B33" s="36" t="s">
        <v>130</v>
      </c>
      <c r="C33" s="133"/>
    </row>
    <row r="34" spans="1:6" ht="15" customHeight="1" x14ac:dyDescent="0.25">
      <c r="C34" s="133"/>
    </row>
    <row r="35" spans="1:6" ht="15" customHeight="1" x14ac:dyDescent="0.3">
      <c r="A35" s="4" t="s">
        <v>136</v>
      </c>
      <c r="C35" s="133"/>
    </row>
    <row r="36" spans="1:6" ht="15" customHeight="1" x14ac:dyDescent="0.25">
      <c r="A36" s="15" t="s">
        <v>74</v>
      </c>
      <c r="B36" s="9"/>
      <c r="C36" s="133"/>
      <c r="D36"/>
    </row>
    <row r="37" spans="1:6" ht="15" customHeight="1" x14ac:dyDescent="0.3">
      <c r="A37" s="106"/>
      <c r="B37" s="49" t="s">
        <v>92</v>
      </c>
      <c r="C37" s="132">
        <v>33.779700000000005</v>
      </c>
      <c r="D37" s="146" t="s">
        <v>216</v>
      </c>
      <c r="E37" s="124"/>
      <c r="F37" s="100"/>
    </row>
    <row r="38" spans="1:6" ht="15" customHeight="1" x14ac:dyDescent="0.3">
      <c r="A38" s="106"/>
      <c r="B38" s="19" t="s">
        <v>91</v>
      </c>
      <c r="C38" s="132">
        <v>81.156599999999997</v>
      </c>
      <c r="D38" s="146"/>
      <c r="E38" s="124"/>
      <c r="F38" s="100"/>
    </row>
    <row r="39" spans="1:6" ht="15" customHeight="1" x14ac:dyDescent="0.3">
      <c r="A39" s="106"/>
      <c r="B39" s="19" t="s">
        <v>90</v>
      </c>
      <c r="C39" s="132">
        <v>109.88420000000001</v>
      </c>
      <c r="D39" s="146"/>
      <c r="E39" s="124"/>
      <c r="F39" s="118"/>
    </row>
    <row r="40" spans="1:6" ht="15" customHeight="1" x14ac:dyDescent="0.35">
      <c r="B40" s="19" t="s">
        <v>237</v>
      </c>
      <c r="C40" s="130">
        <v>846</v>
      </c>
      <c r="D40" s="146"/>
      <c r="E40" s="124" t="s">
        <v>245</v>
      </c>
      <c r="F40" s="119"/>
    </row>
    <row r="41" spans="1:6" ht="26.65" customHeight="1" x14ac:dyDescent="0.25">
      <c r="B41" s="19" t="s">
        <v>89</v>
      </c>
      <c r="C41" s="129">
        <v>0.13</v>
      </c>
      <c r="D41" s="104" t="s">
        <v>205</v>
      </c>
      <c r="E41" s="123" t="s">
        <v>254</v>
      </c>
      <c r="F41" s="120"/>
    </row>
    <row r="42" spans="1:6" ht="15" customHeight="1" x14ac:dyDescent="0.25">
      <c r="B42" s="49" t="s">
        <v>93</v>
      </c>
      <c r="C42" s="132">
        <v>27.27</v>
      </c>
      <c r="D42" s="108" t="s">
        <v>240</v>
      </c>
      <c r="E42" s="124" t="s">
        <v>255</v>
      </c>
      <c r="F42" s="121"/>
    </row>
    <row r="43" spans="1:6" ht="15.75" customHeight="1" x14ac:dyDescent="0.25">
      <c r="C43" s="133"/>
      <c r="D43" s="85"/>
      <c r="F43" s="122"/>
    </row>
    <row r="44" spans="1:6" ht="15.75" customHeight="1" x14ac:dyDescent="0.25">
      <c r="A44" s="15" t="s">
        <v>134</v>
      </c>
      <c r="C44" s="133"/>
      <c r="D44"/>
    </row>
    <row r="45" spans="1:6" ht="15.75" customHeight="1" x14ac:dyDescent="0.25">
      <c r="B45" s="19" t="s">
        <v>9</v>
      </c>
      <c r="C45" s="129">
        <v>1.9099999999999999E-2</v>
      </c>
      <c r="D45" s="147" t="s">
        <v>241</v>
      </c>
      <c r="E45" s="144" t="s">
        <v>256</v>
      </c>
    </row>
    <row r="46" spans="1:6" ht="15.75" customHeight="1" x14ac:dyDescent="0.25">
      <c r="B46" s="19" t="s">
        <v>11</v>
      </c>
      <c r="C46" s="129">
        <v>9.98E-2</v>
      </c>
      <c r="D46" s="147"/>
      <c r="E46" s="144"/>
    </row>
    <row r="47" spans="1:6" ht="15.75" customHeight="1" x14ac:dyDescent="0.25">
      <c r="B47" s="19" t="s">
        <v>12</v>
      </c>
      <c r="C47" s="129">
        <v>0.2</v>
      </c>
      <c r="D47" s="147"/>
      <c r="E47" s="144"/>
    </row>
    <row r="48" spans="1:6" ht="15" customHeight="1" x14ac:dyDescent="0.25">
      <c r="B48" s="19" t="s">
        <v>26</v>
      </c>
      <c r="C48" s="125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6" ht="15" customHeight="1" x14ac:dyDescent="0.25">
      <c r="B52" s="19" t="s">
        <v>126</v>
      </c>
      <c r="C52" s="7">
        <v>3.3</v>
      </c>
      <c r="D52" s="147"/>
      <c r="E52" s="144"/>
    </row>
    <row r="53" spans="1:6" ht="15.75" customHeight="1" x14ac:dyDescent="0.25">
      <c r="B53" s="19" t="s">
        <v>127</v>
      </c>
      <c r="C53" s="7">
        <v>3.3</v>
      </c>
      <c r="D53" s="147"/>
      <c r="E53" s="144"/>
    </row>
    <row r="54" spans="1:6" ht="15.75" customHeight="1" x14ac:dyDescent="0.25">
      <c r="B54" s="19" t="s">
        <v>128</v>
      </c>
      <c r="C54" s="7">
        <v>3.3</v>
      </c>
      <c r="D54" s="147"/>
      <c r="E54" s="144"/>
    </row>
    <row r="55" spans="1:6" ht="15.75" customHeight="1" x14ac:dyDescent="0.25">
      <c r="B55" s="19" t="s">
        <v>129</v>
      </c>
      <c r="C55" s="7">
        <v>3.3</v>
      </c>
      <c r="D55" s="147"/>
      <c r="E55" s="144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8">
        <v>0.1759</v>
      </c>
      <c r="D58" s="107" t="s">
        <v>216</v>
      </c>
      <c r="E58" s="127" t="s">
        <v>218</v>
      </c>
      <c r="F58" s="99"/>
    </row>
    <row r="59" spans="1:6" ht="65.650000000000006" customHeight="1" x14ac:dyDescent="0.25">
      <c r="B59" s="19" t="s">
        <v>133</v>
      </c>
      <c r="C59" s="135">
        <v>0.43519999999999998</v>
      </c>
      <c r="D59" s="104" t="s">
        <v>243</v>
      </c>
      <c r="E59" s="126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8">
        <v>9.6000000000000002E-2</v>
      </c>
      <c r="D62" s="107" t="s">
        <v>216</v>
      </c>
      <c r="E62" s="111"/>
    </row>
    <row r="63" spans="1:6" ht="15.75" customHeight="1" x14ac:dyDescent="0.3">
      <c r="A63" s="106"/>
      <c r="B63" s="29" t="s">
        <v>221</v>
      </c>
      <c r="C63" s="128">
        <v>1.7000000000000001E-2</v>
      </c>
      <c r="D63" s="107" t="s">
        <v>216</v>
      </c>
      <c r="E63" s="111"/>
    </row>
    <row r="64" spans="1:6" ht="15.75" customHeight="1" x14ac:dyDescent="0.3">
      <c r="A64" s="106"/>
      <c r="B64" s="102" t="s">
        <v>222</v>
      </c>
      <c r="C64" s="128">
        <v>0</v>
      </c>
      <c r="D64" s="107" t="s">
        <v>216</v>
      </c>
      <c r="E64" s="111"/>
    </row>
    <row r="65" spans="1:5" ht="15.75" customHeight="1" x14ac:dyDescent="0.3">
      <c r="A65" s="106"/>
      <c r="B65" s="102" t="s">
        <v>223</v>
      </c>
      <c r="C65" s="128">
        <v>0</v>
      </c>
      <c r="D65" s="107" t="s">
        <v>216</v>
      </c>
      <c r="E65" s="111"/>
    </row>
    <row r="66" spans="1:5" ht="15.75" customHeight="1" x14ac:dyDescent="0.3">
      <c r="A66" s="106"/>
      <c r="B66" s="102" t="s">
        <v>224</v>
      </c>
      <c r="C66" s="128">
        <v>0.12770000000000001</v>
      </c>
      <c r="D66" s="107" t="s">
        <v>216</v>
      </c>
      <c r="E66" s="111"/>
    </row>
    <row r="67" spans="1:5" ht="15.75" customHeight="1" x14ac:dyDescent="0.3">
      <c r="A67" s="106"/>
      <c r="B67" s="102" t="s">
        <v>225</v>
      </c>
      <c r="C67" s="128">
        <v>0.2077</v>
      </c>
      <c r="D67" s="107" t="s">
        <v>216</v>
      </c>
      <c r="E67" s="111"/>
    </row>
    <row r="68" spans="1:5" ht="15.75" customHeight="1" x14ac:dyDescent="0.3">
      <c r="A68" s="106"/>
      <c r="B68" s="102" t="s">
        <v>226</v>
      </c>
      <c r="C68" s="128">
        <v>6.8599999999999994E-2</v>
      </c>
      <c r="D68" s="107" t="s">
        <v>216</v>
      </c>
      <c r="E68" s="111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8">
        <v>9.6000000000000002E-2</v>
      </c>
      <c r="D70" s="107" t="s">
        <v>216</v>
      </c>
      <c r="E70" s="111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8">
        <v>0.77859999999999996</v>
      </c>
      <c r="D72" s="107" t="s">
        <v>252</v>
      </c>
      <c r="E72" s="111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</v>
      </c>
      <c r="C3" s="30">
        <f>frac_mam_1_5months * 2.6</f>
        <v>0</v>
      </c>
      <c r="D3" s="30">
        <f>frac_mam_6_11months * 2.6</f>
        <v>0.10764832000000001</v>
      </c>
      <c r="E3" s="30">
        <f>frac_mam_12_23months * 2.6</f>
        <v>5.8650800000000003E-2</v>
      </c>
      <c r="F3" s="30">
        <f>frac_mam_24_59months * 2.6</f>
        <v>2.3175879999999999E-2</v>
      </c>
    </row>
    <row r="4" spans="1:6" ht="15.75" customHeight="1" x14ac:dyDescent="0.25">
      <c r="A4" s="3" t="s">
        <v>66</v>
      </c>
      <c r="B4" s="30">
        <f>frac_sam_1month * 2.6</f>
        <v>0.43384171999999999</v>
      </c>
      <c r="C4" s="30">
        <f>frac_sam_1_5months * 2.6</f>
        <v>0.43384171999999999</v>
      </c>
      <c r="D4" s="30">
        <f>frac_sam_6_11months * 2.6</f>
        <v>0.20104994000000001</v>
      </c>
      <c r="E4" s="30">
        <f>frac_sam_12_23months * 2.6</f>
        <v>9.1417560000000009E-2</v>
      </c>
      <c r="F4" s="30">
        <f>frac_sam_24_59months * 2.6</f>
        <v>0.18641428000000002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0.57999999999999996</v>
      </c>
      <c r="E2" s="40">
        <f>food_insecure</f>
        <v>0.57999999999999996</v>
      </c>
      <c r="F2" s="40">
        <f>food_insecure</f>
        <v>0.57999999999999996</v>
      </c>
      <c r="G2" s="40">
        <f>food_insecure</f>
        <v>0.57999999999999996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0.57999999999999996</v>
      </c>
      <c r="F5" s="40">
        <f>food_insecure</f>
        <v>0.57999999999999996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0.57999999999999996</v>
      </c>
      <c r="F8" s="40">
        <f>food_insecure</f>
        <v>0.57999999999999996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0.47399999999999998</v>
      </c>
      <c r="E9" s="40">
        <f>IF(ISBLANK(comm_deliv), frac_children_health_facility,1)</f>
        <v>0.47399999999999998</v>
      </c>
      <c r="F9" s="40">
        <f>IF(ISBLANK(comm_deliv), frac_children_health_facility,1)</f>
        <v>0.47399999999999998</v>
      </c>
      <c r="G9" s="40">
        <f>IF(ISBLANK(comm_deliv), frac_children_health_facility,1)</f>
        <v>0.47399999999999998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0.57999999999999996</v>
      </c>
      <c r="I14" s="40">
        <f>food_insecure</f>
        <v>0.57999999999999996</v>
      </c>
      <c r="J14" s="40">
        <f>food_insecure</f>
        <v>0.57999999999999996</v>
      </c>
      <c r="K14" s="40">
        <f>food_insecure</f>
        <v>0.57999999999999996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0.56120000000000003</v>
      </c>
      <c r="I17" s="40">
        <f>frac_PW_health_facility</f>
        <v>0.56120000000000003</v>
      </c>
      <c r="J17" s="40">
        <f>frac_PW_health_facility</f>
        <v>0.56120000000000003</v>
      </c>
      <c r="K17" s="40">
        <f>frac_PW_health_facility</f>
        <v>0.56120000000000003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0.34799999999999998</v>
      </c>
      <c r="I18" s="40">
        <f>frac_malaria_risk</f>
        <v>0.34799999999999998</v>
      </c>
      <c r="J18" s="40">
        <f>frac_malaria_risk</f>
        <v>0.34799999999999998</v>
      </c>
      <c r="K18" s="40">
        <f>frac_malaria_risk</f>
        <v>0.34799999999999998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0.45615808000000002</v>
      </c>
      <c r="M24" s="40">
        <f>(1-food_insecure)*(0.49)+food_insecure*(0.7)</f>
        <v>0.61180000000000001</v>
      </c>
      <c r="N24" s="40">
        <f>(1-food_insecure)*(0.49)+food_insecure*(0.7)</f>
        <v>0.61180000000000001</v>
      </c>
      <c r="O24" s="40">
        <f>(1-food_insecure)*(0.49)+food_insecure*(0.7)</f>
        <v>0.61180000000000001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0.19549632</v>
      </c>
      <c r="M25" s="40">
        <f>(1-food_insecure)*(0.21)+food_insecure*(0.3)</f>
        <v>0.26219999999999999</v>
      </c>
      <c r="N25" s="40">
        <f>(1-food_insecure)*(0.21)+food_insecure*(0.3)</f>
        <v>0.26219999999999999</v>
      </c>
      <c r="O25" s="40">
        <f>(1-food_insecure)*(0.21)+food_insecure*(0.3)</f>
        <v>0.26219999999999999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9.3945600000000004E-2</v>
      </c>
      <c r="M26" s="40">
        <f>(1-food_insecure)*(0.3)</f>
        <v>0.126</v>
      </c>
      <c r="N26" s="40">
        <f>(1-food_insecure)*(0.3)</f>
        <v>0.126</v>
      </c>
      <c r="O26" s="40">
        <f>(1-food_insecure)*(0.3)</f>
        <v>0.126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0.25440000000000002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0.34799999999999998</v>
      </c>
      <c r="D33" s="40">
        <f t="shared" si="3"/>
        <v>0.34799999999999998</v>
      </c>
      <c r="E33" s="40">
        <f t="shared" si="3"/>
        <v>0.34799999999999998</v>
      </c>
      <c r="F33" s="40">
        <f t="shared" si="3"/>
        <v>0.34799999999999998</v>
      </c>
      <c r="G33" s="40">
        <f t="shared" si="3"/>
        <v>0.34799999999999998</v>
      </c>
      <c r="H33" s="40">
        <f t="shared" si="3"/>
        <v>0.34799999999999998</v>
      </c>
      <c r="I33" s="40">
        <f t="shared" si="3"/>
        <v>0.34799999999999998</v>
      </c>
      <c r="J33" s="40">
        <f t="shared" si="3"/>
        <v>0.34799999999999998</v>
      </c>
      <c r="K33" s="40">
        <f t="shared" si="3"/>
        <v>0.34799999999999998</v>
      </c>
      <c r="L33" s="40">
        <f t="shared" si="3"/>
        <v>0.34799999999999998</v>
      </c>
      <c r="M33" s="40">
        <f t="shared" si="3"/>
        <v>0.34799999999999998</v>
      </c>
      <c r="N33" s="40">
        <f t="shared" si="3"/>
        <v>0.34799999999999998</v>
      </c>
      <c r="O33" s="40">
        <f t="shared" si="3"/>
        <v>0.34799999999999998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151109.99999999997</v>
      </c>
      <c r="C2" s="81">
        <v>571000</v>
      </c>
      <c r="D2" s="81">
        <v>199000</v>
      </c>
      <c r="E2" s="81">
        <v>298000</v>
      </c>
      <c r="F2" s="81">
        <v>226000</v>
      </c>
      <c r="G2" s="81">
        <v>159000</v>
      </c>
      <c r="H2" s="25">
        <f t="shared" ref="H2:H40" si="0">D2+E2+F2+G2</f>
        <v>882000</v>
      </c>
      <c r="I2" s="25">
        <f>(B2 + stillbirth*B2/(1000-stillbirth))/(1-abortion)</f>
        <v>178558.95795587034</v>
      </c>
      <c r="J2" s="25">
        <f>H2-I2</f>
        <v>703441.04204412969</v>
      </c>
    </row>
    <row r="3" spans="1:10" ht="15.75" customHeight="1" x14ac:dyDescent="0.25">
      <c r="A3" s="9">
        <v>2016</v>
      </c>
      <c r="B3" s="80">
        <v>155110.35156164379</v>
      </c>
      <c r="C3" s="81">
        <v>585335.96634777845</v>
      </c>
      <c r="D3" s="81">
        <v>206684.85303428562</v>
      </c>
      <c r="E3" s="81">
        <v>307745.30665584368</v>
      </c>
      <c r="F3" s="81">
        <v>233677.38163994852</v>
      </c>
      <c r="G3" s="81">
        <v>163970.81326796886</v>
      </c>
      <c r="H3" s="25">
        <f t="shared" si="0"/>
        <v>912078.35459804675</v>
      </c>
      <c r="I3" s="25">
        <f t="shared" ref="I3:I40" si="1">(B3 + stillbirth*B3/(1000-stillbirth))/(1-abortion)</f>
        <v>183285.96878443405</v>
      </c>
      <c r="J3" s="25">
        <f t="shared" ref="J3:J15" si="2">H3-I3</f>
        <v>728792.38581361272</v>
      </c>
    </row>
    <row r="4" spans="1:10" ht="15.75" customHeight="1" x14ac:dyDescent="0.25">
      <c r="A4" s="9">
        <v>2017</v>
      </c>
      <c r="B4" s="80">
        <v>159216.60486782304</v>
      </c>
      <c r="C4" s="81">
        <v>600031.86252239509</v>
      </c>
      <c r="D4" s="81">
        <v>214666.47474273489</v>
      </c>
      <c r="E4" s="81">
        <v>317809.30794865527</v>
      </c>
      <c r="F4" s="81">
        <v>241615.56942523076</v>
      </c>
      <c r="G4" s="81">
        <v>169097.02895445982</v>
      </c>
      <c r="H4" s="25">
        <f t="shared" si="0"/>
        <v>943188.38107108069</v>
      </c>
      <c r="I4" s="25">
        <f t="shared" si="1"/>
        <v>188138.11828780387</v>
      </c>
      <c r="J4" s="25">
        <f t="shared" si="2"/>
        <v>755050.26278327685</v>
      </c>
    </row>
    <row r="5" spans="1:10" ht="15.75" customHeight="1" x14ac:dyDescent="0.25">
      <c r="A5" s="9">
        <v>2018</v>
      </c>
      <c r="B5" s="80">
        <v>163431.56346700658</v>
      </c>
      <c r="C5" s="81">
        <v>615096.72519965586</v>
      </c>
      <c r="D5" s="81">
        <v>222956.32554568013</v>
      </c>
      <c r="E5" s="81">
        <v>328202.42594879324</v>
      </c>
      <c r="F5" s="81">
        <v>249823.42312713771</v>
      </c>
      <c r="G5" s="81">
        <v>174383.50540163557</v>
      </c>
      <c r="H5" s="25">
        <f t="shared" si="0"/>
        <v>975365.68002324656</v>
      </c>
      <c r="I5" s="25">
        <f t="shared" si="1"/>
        <v>193118.71927580825</v>
      </c>
      <c r="J5" s="25">
        <f t="shared" si="2"/>
        <v>782246.96074743825</v>
      </c>
    </row>
    <row r="6" spans="1:10" ht="15.75" customHeight="1" x14ac:dyDescent="0.25">
      <c r="A6" s="9">
        <v>2019</v>
      </c>
      <c r="B6" s="80">
        <v>167526.53447280501</v>
      </c>
      <c r="C6" s="81">
        <v>630336.28477755608</v>
      </c>
      <c r="D6" s="81">
        <v>231621.17649300719</v>
      </c>
      <c r="E6" s="81">
        <v>339114.94227538182</v>
      </c>
      <c r="F6" s="81">
        <v>258368.83861528707</v>
      </c>
      <c r="G6" s="81">
        <v>180117.82881629496</v>
      </c>
      <c r="H6" s="25">
        <f t="shared" si="0"/>
        <v>1009222.7861999711</v>
      </c>
      <c r="I6" s="25">
        <f t="shared" si="1"/>
        <v>197957.53706189041</v>
      </c>
      <c r="J6" s="25">
        <f t="shared" si="2"/>
        <v>811265.24913808075</v>
      </c>
    </row>
    <row r="7" spans="1:10" ht="15.75" customHeight="1" x14ac:dyDescent="0.25">
      <c r="A7" s="9">
        <v>2020</v>
      </c>
      <c r="B7" s="80">
        <v>171548.27002319868</v>
      </c>
      <c r="C7" s="81">
        <v>645836.45574967947</v>
      </c>
      <c r="D7" s="81">
        <v>240634.82287940438</v>
      </c>
      <c r="E7" s="81">
        <v>350648.48595098709</v>
      </c>
      <c r="F7" s="81">
        <v>267201.01191017294</v>
      </c>
      <c r="G7" s="81">
        <v>186762.66732515756</v>
      </c>
      <c r="H7" s="25">
        <f t="shared" si="0"/>
        <v>1045246.988065722</v>
      </c>
      <c r="I7" s="25">
        <f t="shared" si="1"/>
        <v>202709.81625620168</v>
      </c>
      <c r="J7" s="25">
        <f t="shared" si="2"/>
        <v>842537.17180952034</v>
      </c>
    </row>
    <row r="8" spans="1:10" ht="15.75" customHeight="1" x14ac:dyDescent="0.25">
      <c r="A8" s="9">
        <v>2021</v>
      </c>
      <c r="B8" s="80">
        <v>175888.33122472838</v>
      </c>
      <c r="C8" s="81">
        <v>661375.05676232814</v>
      </c>
      <c r="D8" s="81">
        <v>249946.24532773247</v>
      </c>
      <c r="E8" s="81">
        <v>362869.4759431128</v>
      </c>
      <c r="F8" s="81">
        <v>276299.08491245081</v>
      </c>
      <c r="G8" s="81">
        <v>193121.67724221482</v>
      </c>
      <c r="H8" s="25">
        <f t="shared" si="0"/>
        <v>1082236.4834255108</v>
      </c>
      <c r="I8" s="25">
        <f t="shared" si="1"/>
        <v>207838.2445905928</v>
      </c>
      <c r="J8" s="25">
        <f t="shared" si="2"/>
        <v>874398.23883491801</v>
      </c>
    </row>
    <row r="9" spans="1:10" ht="15.75" customHeight="1" x14ac:dyDescent="0.25">
      <c r="A9" s="9">
        <v>2022</v>
      </c>
      <c r="B9" s="80">
        <v>180175.3779875871</v>
      </c>
      <c r="C9" s="81">
        <v>678074.71205903462</v>
      </c>
      <c r="D9" s="81">
        <v>259528.93023634996</v>
      </c>
      <c r="E9" s="81">
        <v>375778.81250884861</v>
      </c>
      <c r="F9" s="81">
        <v>285656.37865067704</v>
      </c>
      <c r="G9" s="81">
        <v>199766.12127155406</v>
      </c>
      <c r="H9" s="25">
        <f t="shared" si="0"/>
        <v>1120730.2426674296</v>
      </c>
      <c r="I9" s="25">
        <f t="shared" si="1"/>
        <v>212904.02847441347</v>
      </c>
      <c r="J9" s="25">
        <f t="shared" si="2"/>
        <v>907826.21419301617</v>
      </c>
    </row>
    <row r="10" spans="1:10" ht="15.75" customHeight="1" x14ac:dyDescent="0.25">
      <c r="A10" s="9">
        <v>2023</v>
      </c>
      <c r="B10" s="80">
        <v>184549.95354864828</v>
      </c>
      <c r="C10" s="81">
        <v>694779.16086825856</v>
      </c>
      <c r="D10" s="81">
        <v>269311.11069129908</v>
      </c>
      <c r="E10" s="81">
        <v>389440.16383014648</v>
      </c>
      <c r="F10" s="81">
        <v>295241.14063766052</v>
      </c>
      <c r="G10" s="81">
        <v>206707.32661091833</v>
      </c>
      <c r="H10" s="25">
        <f t="shared" si="0"/>
        <v>1160699.7417700244</v>
      </c>
      <c r="I10" s="25">
        <f t="shared" si="1"/>
        <v>218073.24066210652</v>
      </c>
      <c r="J10" s="25">
        <f t="shared" si="2"/>
        <v>942626.50110791787</v>
      </c>
    </row>
    <row r="11" spans="1:10" ht="15.75" customHeight="1" x14ac:dyDescent="0.25">
      <c r="A11" s="9">
        <v>2024</v>
      </c>
      <c r="B11" s="80">
        <v>189287.21670772249</v>
      </c>
      <c r="C11" s="81">
        <v>711989.59155433474</v>
      </c>
      <c r="D11" s="81">
        <v>279218.75453887018</v>
      </c>
      <c r="E11" s="81">
        <v>403922.44958864828</v>
      </c>
      <c r="F11" s="81">
        <v>305053.15189073089</v>
      </c>
      <c r="G11" s="81">
        <v>213945.18055187236</v>
      </c>
      <c r="H11" s="25">
        <f t="shared" si="0"/>
        <v>1202139.5365701218</v>
      </c>
      <c r="I11" s="25">
        <f t="shared" si="1"/>
        <v>223671.0222334587</v>
      </c>
      <c r="J11" s="25">
        <f t="shared" si="2"/>
        <v>978468.51433666307</v>
      </c>
    </row>
    <row r="12" spans="1:10" ht="15.75" customHeight="1" x14ac:dyDescent="0.25">
      <c r="A12" s="9">
        <v>2025</v>
      </c>
      <c r="B12" s="80">
        <v>194204.0788262978</v>
      </c>
      <c r="C12" s="81">
        <v>729899.30148527829</v>
      </c>
      <c r="D12" s="81">
        <v>289206.86588035518</v>
      </c>
      <c r="E12" s="81">
        <v>419263.88069638162</v>
      </c>
      <c r="F12" s="81">
        <v>315152.79688121896</v>
      </c>
      <c r="G12" s="81">
        <v>221448.80098315643</v>
      </c>
      <c r="H12" s="25">
        <f t="shared" si="0"/>
        <v>1245072.3444411121</v>
      </c>
      <c r="I12" s="25">
        <f t="shared" si="1"/>
        <v>229481.02670904272</v>
      </c>
      <c r="J12" s="25">
        <f t="shared" si="2"/>
        <v>1015591.3177320694</v>
      </c>
    </row>
    <row r="13" spans="1:10" ht="15.75" customHeight="1" x14ac:dyDescent="0.25">
      <c r="A13" s="9">
        <v>2026</v>
      </c>
      <c r="B13" s="80">
        <v>198989.71945330256</v>
      </c>
      <c r="C13" s="81">
        <v>748086.05185762059</v>
      </c>
      <c r="D13" s="81">
        <v>299193.27829202625</v>
      </c>
      <c r="E13" s="81">
        <v>435377.23224421509</v>
      </c>
      <c r="F13" s="81">
        <v>325555.78761571751</v>
      </c>
      <c r="G13" s="81">
        <v>229194.23736227897</v>
      </c>
      <c r="H13" s="25">
        <f t="shared" si="0"/>
        <v>1289320.5355142378</v>
      </c>
      <c r="I13" s="25">
        <f t="shared" si="1"/>
        <v>235135.97345981532</v>
      </c>
      <c r="J13" s="25">
        <f t="shared" si="2"/>
        <v>1054184.5620544225</v>
      </c>
    </row>
    <row r="14" spans="1:10" ht="15.75" customHeight="1" x14ac:dyDescent="0.25">
      <c r="A14" s="9">
        <v>2027</v>
      </c>
      <c r="B14" s="80">
        <v>204362.10419234264</v>
      </c>
      <c r="C14" s="81">
        <v>767129.8167157924</v>
      </c>
      <c r="D14" s="81">
        <v>309146.84472729487</v>
      </c>
      <c r="E14" s="81">
        <v>452186.28246522421</v>
      </c>
      <c r="F14" s="81">
        <v>336337.94684381236</v>
      </c>
      <c r="G14" s="81">
        <v>237220.2613909675</v>
      </c>
      <c r="H14" s="25">
        <f t="shared" si="0"/>
        <v>1334891.3354272989</v>
      </c>
      <c r="I14" s="25">
        <f t="shared" si="1"/>
        <v>241484.24571672102</v>
      </c>
      <c r="J14" s="25">
        <f t="shared" si="2"/>
        <v>1093407.0897105779</v>
      </c>
    </row>
    <row r="15" spans="1:10" ht="15.75" customHeight="1" x14ac:dyDescent="0.25">
      <c r="A15" s="9">
        <v>2028</v>
      </c>
      <c r="B15" s="80">
        <v>209360.13720078563</v>
      </c>
      <c r="C15" s="81">
        <v>786661.70044690487</v>
      </c>
      <c r="D15" s="81">
        <v>319041.0515845195</v>
      </c>
      <c r="E15" s="81">
        <v>469573.94792347052</v>
      </c>
      <c r="F15" s="81">
        <v>347584.95153525198</v>
      </c>
      <c r="G15" s="81">
        <v>245548.85121409665</v>
      </c>
      <c r="H15" s="25">
        <f t="shared" si="0"/>
        <v>1381748.8022573385</v>
      </c>
      <c r="I15" s="25">
        <f t="shared" si="1"/>
        <v>247390.16568109547</v>
      </c>
      <c r="J15" s="25">
        <f t="shared" si="2"/>
        <v>1134358.636576243</v>
      </c>
    </row>
    <row r="16" spans="1:10" ht="15.75" customHeight="1" x14ac:dyDescent="0.25">
      <c r="A16" s="9">
        <v>2029</v>
      </c>
      <c r="B16" s="8">
        <v>214617.07570953685</v>
      </c>
      <c r="C16" s="24">
        <v>806626.88493344944</v>
      </c>
      <c r="D16" s="24">
        <v>328844.28847261693</v>
      </c>
      <c r="E16" s="24">
        <v>487444.30122462247</v>
      </c>
      <c r="F16" s="24">
        <v>359389.15763122856</v>
      </c>
      <c r="G16" s="24">
        <v>254194.20809450853</v>
      </c>
      <c r="H16" s="25">
        <f t="shared" si="0"/>
        <v>1429871.9554229768</v>
      </c>
      <c r="I16" s="25">
        <f t="shared" si="1"/>
        <v>253602.02103256594</v>
      </c>
      <c r="J16" s="25">
        <f t="shared" ref="J16:J40" si="3">H16-I16</f>
        <v>1176269.9343904108</v>
      </c>
    </row>
    <row r="17" spans="1:10" ht="15.75" customHeight="1" x14ac:dyDescent="0.25">
      <c r="A17" s="9">
        <v>2030</v>
      </c>
      <c r="B17" s="8">
        <v>222069.54815812502</v>
      </c>
      <c r="C17" s="24">
        <v>828669.58593913727</v>
      </c>
      <c r="D17" s="24">
        <v>338423.93590065802</v>
      </c>
      <c r="E17" s="24">
        <v>505733.32408674876</v>
      </c>
      <c r="F17" s="24">
        <v>371864.10764628422</v>
      </c>
      <c r="G17" s="24">
        <v>263132.26878127625</v>
      </c>
      <c r="H17" s="25">
        <f t="shared" si="0"/>
        <v>1479153.6364149672</v>
      </c>
      <c r="I17" s="25">
        <f t="shared" si="1"/>
        <v>262408.22654255689</v>
      </c>
      <c r="J17" s="25">
        <f t="shared" si="3"/>
        <v>1216745.4098724104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0"/>
  <sheetViews>
    <sheetView zoomScale="90" zoomScaleNormal="60" workbookViewId="0">
      <selection activeCell="E13" sqref="E13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8">
        <v>0.49303249999999998</v>
      </c>
      <c r="D2" s="128">
        <v>0.49303249999999998</v>
      </c>
      <c r="E2" s="128">
        <v>0.42797350000000001</v>
      </c>
      <c r="F2" s="128">
        <v>0.26438109999999998</v>
      </c>
      <c r="G2" s="128">
        <v>0.24053769999999999</v>
      </c>
      <c r="H2" s="148" t="s">
        <v>216</v>
      </c>
    </row>
    <row r="3" spans="1:15" ht="15.75" customHeight="1" x14ac:dyDescent="0.25">
      <c r="A3" s="5"/>
      <c r="B3" s="14" t="s">
        <v>119</v>
      </c>
      <c r="C3" s="128">
        <v>4.44774E-2</v>
      </c>
      <c r="D3" s="128">
        <v>4.44774E-2</v>
      </c>
      <c r="E3" s="128">
        <v>0.22636229999999999</v>
      </c>
      <c r="F3" s="128">
        <v>0.26299729999999999</v>
      </c>
      <c r="G3" s="128">
        <v>0.31094620000000001</v>
      </c>
      <c r="H3" s="148"/>
    </row>
    <row r="4" spans="1:15" ht="15.75" customHeight="1" x14ac:dyDescent="0.25">
      <c r="A4" s="5"/>
      <c r="B4" s="14" t="s">
        <v>117</v>
      </c>
      <c r="C4" s="128">
        <v>4.4240000000000002E-2</v>
      </c>
      <c r="D4" s="128">
        <v>4.4240000000000002E-2</v>
      </c>
      <c r="E4" s="128">
        <v>0.1491209</v>
      </c>
      <c r="F4" s="128">
        <v>0.15719469999999999</v>
      </c>
      <c r="G4" s="128">
        <v>0.20550360000000001</v>
      </c>
      <c r="H4" s="148"/>
    </row>
    <row r="5" spans="1:15" ht="15.75" customHeight="1" x14ac:dyDescent="0.25">
      <c r="A5" s="5"/>
      <c r="B5" s="14" t="s">
        <v>120</v>
      </c>
      <c r="C5" s="128">
        <v>0.41825010000000001</v>
      </c>
      <c r="D5" s="128">
        <v>0.41825010000000001</v>
      </c>
      <c r="E5" s="128">
        <v>0.1965433</v>
      </c>
      <c r="F5" s="128">
        <v>0.31542690000000001</v>
      </c>
      <c r="G5" s="128">
        <v>0.24301249999999999</v>
      </c>
      <c r="H5" s="148"/>
      <c r="I5" s="103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8">
        <v>0.83313780000000004</v>
      </c>
      <c r="D8" s="128">
        <v>0.83313780000000004</v>
      </c>
      <c r="E8" s="128">
        <v>0.73367479999999996</v>
      </c>
      <c r="F8" s="128">
        <v>0.74542220000000003</v>
      </c>
      <c r="G8" s="128">
        <v>0.76941219999999999</v>
      </c>
      <c r="H8" s="148" t="s">
        <v>216</v>
      </c>
    </row>
    <row r="9" spans="1:15" ht="15.75" customHeight="1" x14ac:dyDescent="0.25">
      <c r="B9" s="9" t="s">
        <v>122</v>
      </c>
      <c r="C9" s="128">
        <v>0</v>
      </c>
      <c r="D9" s="128">
        <v>0</v>
      </c>
      <c r="E9" s="128">
        <v>0.14759510000000001</v>
      </c>
      <c r="F9" s="128">
        <v>0.19685920000000001</v>
      </c>
      <c r="G9" s="128">
        <v>0.1499762</v>
      </c>
      <c r="H9" s="148"/>
    </row>
    <row r="10" spans="1:15" ht="15.75" customHeight="1" x14ac:dyDescent="0.25">
      <c r="B10" s="9" t="s">
        <v>123</v>
      </c>
      <c r="C10" s="128">
        <v>0</v>
      </c>
      <c r="D10" s="128">
        <v>0</v>
      </c>
      <c r="E10" s="128">
        <v>4.1403200000000001E-2</v>
      </c>
      <c r="F10" s="128">
        <v>2.2558000000000002E-2</v>
      </c>
      <c r="G10" s="128">
        <v>8.9137999999999995E-3</v>
      </c>
      <c r="H10" s="148"/>
    </row>
    <row r="11" spans="1:15" ht="15.75" customHeight="1" x14ac:dyDescent="0.25">
      <c r="B11" s="9" t="s">
        <v>124</v>
      </c>
      <c r="C11" s="128">
        <v>0.16686219999999999</v>
      </c>
      <c r="D11" s="128">
        <v>0.16686219999999999</v>
      </c>
      <c r="E11" s="128">
        <v>7.7326900000000004E-2</v>
      </c>
      <c r="F11" s="128">
        <v>3.51606E-2</v>
      </c>
      <c r="G11" s="128">
        <v>7.1697800000000006E-2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6"/>
      <c r="D14" s="136"/>
      <c r="E14" s="128">
        <v>0.72399999999999998</v>
      </c>
      <c r="F14" s="128">
        <v>0.64810000000000001</v>
      </c>
      <c r="G14" s="137">
        <v>0.60550000000000004</v>
      </c>
      <c r="H14" s="138">
        <v>0.68930000000000002</v>
      </c>
      <c r="I14" s="138">
        <v>0.13439999999999999</v>
      </c>
      <c r="J14" s="138">
        <v>0.24909999999999999</v>
      </c>
      <c r="K14" s="138">
        <v>1</v>
      </c>
      <c r="L14" s="138">
        <v>0.35060000000000002</v>
      </c>
      <c r="M14" s="138">
        <v>0.28860000000000002</v>
      </c>
      <c r="N14" s="138">
        <v>0.28999999999999998</v>
      </c>
      <c r="O14" s="138">
        <v>0.29649999999999999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0.3150848</v>
      </c>
      <c r="F15" s="37">
        <f t="shared" si="0"/>
        <v>0.28205311999999999</v>
      </c>
      <c r="G15" s="37">
        <f t="shared" si="0"/>
        <v>0.26351360000000001</v>
      </c>
      <c r="H15" s="37">
        <f t="shared" si="0"/>
        <v>0.29998335999999998</v>
      </c>
      <c r="I15" s="37">
        <f t="shared" si="0"/>
        <v>5.8490879999999995E-2</v>
      </c>
      <c r="J15" s="37">
        <f t="shared" si="0"/>
        <v>0.10840831999999999</v>
      </c>
      <c r="K15" s="37">
        <f t="shared" si="0"/>
        <v>0.43519999999999998</v>
      </c>
      <c r="L15" s="37">
        <f t="shared" si="0"/>
        <v>0.15258112000000001</v>
      </c>
      <c r="M15" s="37">
        <f t="shared" si="0"/>
        <v>0.12559872</v>
      </c>
      <c r="N15" s="37">
        <f t="shared" si="0"/>
        <v>0.12620799999999999</v>
      </c>
      <c r="O15" s="37">
        <f t="shared" si="0"/>
        <v>0.12903679999999998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50" spans="14:14" ht="15.75" customHeight="1" x14ac:dyDescent="0.25">
      <c r="N5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8"/>
  <sheetViews>
    <sheetView zoomScale="89" zoomScaleNormal="60" workbookViewId="0">
      <selection activeCell="H8" sqref="H8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8">
        <v>1</v>
      </c>
      <c r="D2" s="128">
        <v>0.56233770000000005</v>
      </c>
      <c r="E2" s="128"/>
      <c r="F2" s="128"/>
      <c r="G2" s="128"/>
      <c r="H2" s="148" t="s">
        <v>207</v>
      </c>
    </row>
    <row r="3" spans="1:8" x14ac:dyDescent="0.25">
      <c r="B3" s="50" t="s">
        <v>167</v>
      </c>
      <c r="C3" s="139">
        <v>0</v>
      </c>
      <c r="D3" s="139">
        <v>0.15626670000000001</v>
      </c>
      <c r="E3" s="139"/>
      <c r="F3" s="139"/>
      <c r="G3" s="139"/>
      <c r="H3" s="148"/>
    </row>
    <row r="4" spans="1:8" x14ac:dyDescent="0.25">
      <c r="B4" s="50" t="s">
        <v>168</v>
      </c>
      <c r="C4" s="139">
        <v>0</v>
      </c>
      <c r="D4" s="139">
        <v>0.22294939999999999</v>
      </c>
      <c r="E4" s="131">
        <v>1</v>
      </c>
      <c r="F4" s="131">
        <v>0.85887420000000003</v>
      </c>
      <c r="G4" s="131">
        <v>0.2245731</v>
      </c>
      <c r="H4" s="148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5.8446200000000004E-2</v>
      </c>
      <c r="E5" s="37">
        <f t="shared" si="0"/>
        <v>0</v>
      </c>
      <c r="F5" s="37">
        <f t="shared" si="0"/>
        <v>0.14112579999999997</v>
      </c>
      <c r="G5" s="37">
        <f t="shared" si="0"/>
        <v>0.77542690000000003</v>
      </c>
      <c r="H5" s="148"/>
    </row>
    <row r="8" spans="1:8" x14ac:dyDescent="0.25">
      <c r="C8" s="103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H1" sqref="H1:AK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6" t="s">
        <v>258</v>
      </c>
      <c r="C1" s="61" t="s">
        <v>201</v>
      </c>
      <c r="D1" s="60" t="s">
        <v>202</v>
      </c>
      <c r="E1" s="88" t="s">
        <v>208</v>
      </c>
      <c r="F1" s="113" t="s">
        <v>248</v>
      </c>
      <c r="G1" s="91" t="s">
        <v>209</v>
      </c>
    </row>
    <row r="2" spans="1:7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8">
        <v>5.7000000000000002E-2</v>
      </c>
      <c r="C5" s="58">
        <v>0.95</v>
      </c>
      <c r="D5" s="115">
        <f>SUM('Programs family planning'!E2:E10)</f>
        <v>0.82100000000000006</v>
      </c>
      <c r="E5" s="89" t="s">
        <v>216</v>
      </c>
      <c r="F5" s="114" t="s">
        <v>230</v>
      </c>
      <c r="G5" s="89"/>
    </row>
    <row r="6" spans="1:7" ht="15.75" customHeight="1" x14ac:dyDescent="0.3">
      <c r="A6" s="92"/>
      <c r="B6" s="128">
        <v>3.6000000000000004E-2</v>
      </c>
      <c r="C6" s="58">
        <v>0.95</v>
      </c>
      <c r="D6" s="115">
        <v>8.2000000000000003E-2</v>
      </c>
      <c r="E6" s="89" t="s">
        <v>216</v>
      </c>
      <c r="F6" s="114" t="s">
        <v>231</v>
      </c>
      <c r="G6" s="89"/>
    </row>
    <row r="7" spans="1:7" ht="15.75" customHeight="1" x14ac:dyDescent="0.25">
      <c r="A7" s="57" t="s">
        <v>63</v>
      </c>
      <c r="B7" s="129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29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29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29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29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29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8">
        <v>0.63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8">
        <v>0.46</v>
      </c>
      <c r="C14" s="58">
        <v>0.95</v>
      </c>
      <c r="D14" s="59">
        <v>2.1800000000000002</v>
      </c>
      <c r="E14" s="89" t="s">
        <v>216</v>
      </c>
      <c r="F14" s="114" t="s">
        <v>232</v>
      </c>
      <c r="G14" s="89" t="s">
        <v>212</v>
      </c>
    </row>
    <row r="15" spans="1:7" ht="15.75" customHeight="1" x14ac:dyDescent="0.3">
      <c r="A15" s="92"/>
      <c r="B15" s="128">
        <v>0.317</v>
      </c>
      <c r="C15" s="58">
        <v>0.95</v>
      </c>
      <c r="D15" s="59">
        <v>2.1800000000000002</v>
      </c>
      <c r="E15" s="89" t="s">
        <v>216</v>
      </c>
      <c r="F15" s="114" t="s">
        <v>233</v>
      </c>
      <c r="G15" s="89"/>
    </row>
    <row r="16" spans="1:7" ht="15.75" customHeight="1" x14ac:dyDescent="0.25">
      <c r="A16" s="57" t="s">
        <v>47</v>
      </c>
      <c r="B16" s="129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29"/>
      <c r="C17" s="58">
        <v>0.95</v>
      </c>
      <c r="D17" s="116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29"/>
      <c r="C18" s="58">
        <v>0.95</v>
      </c>
      <c r="D18" s="116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29"/>
      <c r="C19" s="58">
        <v>0.95</v>
      </c>
      <c r="D19" s="116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29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29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29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29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29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29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29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8">
        <v>0.23300000000000001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29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29"/>
      <c r="C29" s="58">
        <v>0.95</v>
      </c>
      <c r="D29" s="117">
        <f>162*AVERAGE('Incidence of conditions'!B4:F4) + 0*AVERAGE('Incidence of conditions'!B3:F3)*IF(ISBLANK(manage_mam), 0, 1)</f>
        <v>43.628713128000001</v>
      </c>
      <c r="E29" s="89"/>
      <c r="F29" s="90"/>
      <c r="G29" s="89"/>
    </row>
    <row r="30" spans="1:7" ht="15.75" customHeight="1" x14ac:dyDescent="0.3">
      <c r="A30" s="92" t="s">
        <v>28</v>
      </c>
      <c r="B30" s="128">
        <v>0.73699999999999999</v>
      </c>
      <c r="C30" s="58">
        <v>0.95</v>
      </c>
      <c r="D30" s="59">
        <v>0.55000000000000004</v>
      </c>
      <c r="E30" s="89" t="s">
        <v>216</v>
      </c>
      <c r="F30" s="114" t="s">
        <v>235</v>
      </c>
      <c r="G30" s="89"/>
    </row>
    <row r="31" spans="1:7" ht="15.75" customHeight="1" x14ac:dyDescent="0.3">
      <c r="A31" s="92"/>
      <c r="B31" s="128">
        <v>0.215</v>
      </c>
      <c r="C31" s="58">
        <v>0.95</v>
      </c>
      <c r="D31" s="59">
        <v>0.55000000000000004</v>
      </c>
      <c r="E31" s="89" t="s">
        <v>216</v>
      </c>
      <c r="F31" s="114" t="s">
        <v>236</v>
      </c>
      <c r="G31" s="89"/>
    </row>
    <row r="32" spans="1:7" ht="15.75" customHeight="1" x14ac:dyDescent="0.25">
      <c r="A32" s="57" t="s">
        <v>83</v>
      </c>
      <c r="B32" s="129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29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29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29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29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29">
        <v>3.0499999999999999E-2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2018-11-06T17:50:59Z</dcterms:modified>
</cp:coreProperties>
</file>