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wb484577\Desktop\Provincial projections\"/>
    </mc:Choice>
  </mc:AlternateContent>
  <xr:revisionPtr revIDLastSave="0" documentId="10_ncr:100000_{75CDB18A-16A3-4DF6-8EB7-5836647E91FE}" xr6:coauthVersionLast="31" xr6:coauthVersionMax="31" xr10:uidLastSave="{00000000-0000-0000-0000-000000000000}"/>
  <bookViews>
    <workbookView xWindow="0" yWindow="0" windowWidth="23040" windowHeight="8610" tabRatio="93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r:id="rId10"/>
    <sheet name="Program dependencies" sheetId="58" r:id="rId11"/>
    <sheet name="Reference programs" sheetId="59" state="hidden" r:id="rId12"/>
    <sheet name="Incidence of conditions" sheetId="7" r:id="rId13"/>
    <sheet name="Programs target population" sheetId="21" r:id="rId14"/>
    <sheet name="Programs family planning" sheetId="54" r:id="rId15"/>
  </sheets>
  <definedNames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inputs'!$C$7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inputs'!$C$8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79017"/>
</workbook>
</file>

<file path=xl/calcChain.xml><?xml version="1.0" encoding="utf-8"?>
<calcChain xmlns="http://schemas.openxmlformats.org/spreadsheetml/2006/main">
  <c r="C5" i="50" l="1"/>
  <c r="H2" i="2"/>
  <c r="J2" i="2" s="1"/>
  <c r="I2" i="2"/>
  <c r="H3" i="2"/>
  <c r="I3" i="2"/>
  <c r="J3" i="2" s="1"/>
  <c r="H4" i="2"/>
  <c r="J4" i="2" s="1"/>
  <c r="I4" i="2"/>
  <c r="H5" i="2"/>
  <c r="J5" i="2" s="1"/>
  <c r="I5" i="2"/>
  <c r="H6" i="2"/>
  <c r="I6" i="2"/>
  <c r="J6" i="2" s="1"/>
  <c r="H7" i="2"/>
  <c r="J7" i="2" s="1"/>
  <c r="I7" i="2"/>
  <c r="D6" i="57" l="1"/>
  <c r="C6" i="57"/>
  <c r="D5" i="57"/>
  <c r="C5" i="57"/>
  <c r="D4" i="57"/>
  <c r="C4" i="57"/>
  <c r="D3" i="57"/>
  <c r="C3" i="57"/>
  <c r="D2" i="57"/>
  <c r="C2" i="57"/>
  <c r="D4" i="56"/>
  <c r="G11" i="21" l="1"/>
  <c r="F11" i="21"/>
  <c r="E11" i="21"/>
  <c r="D11" i="21"/>
  <c r="C11" i="21"/>
  <c r="E7" i="21"/>
  <c r="G7" i="21"/>
  <c r="F7" i="21"/>
  <c r="D7" i="21"/>
  <c r="C7" i="21"/>
  <c r="E20" i="55" l="1"/>
  <c r="E19" i="55"/>
  <c r="E18" i="55"/>
  <c r="E17" i="55"/>
  <c r="E16" i="55"/>
  <c r="E13" i="55" l="1"/>
  <c r="E12" i="55"/>
  <c r="E11" i="55"/>
  <c r="E10" i="55"/>
  <c r="E9" i="55"/>
  <c r="D18" i="56" s="1"/>
  <c r="A1" i="50" l="1"/>
  <c r="A1" i="5"/>
  <c r="A1" i="4"/>
  <c r="D19" i="56" l="1"/>
  <c r="C6" i="5"/>
  <c r="A34" i="2" l="1"/>
  <c r="A26" i="2"/>
  <c r="A18" i="2"/>
  <c r="A38" i="2"/>
  <c r="A30" i="2"/>
  <c r="A22" i="2"/>
  <c r="A37" i="2"/>
  <c r="A33" i="2"/>
  <c r="A29" i="2"/>
  <c r="A25" i="2"/>
  <c r="A21" i="2"/>
  <c r="A40" i="2"/>
  <c r="A36" i="2"/>
  <c r="A32" i="2"/>
  <c r="A28" i="2"/>
  <c r="A24" i="2"/>
  <c r="A20" i="2"/>
  <c r="A39" i="2"/>
  <c r="A35" i="2"/>
  <c r="A31" i="2"/>
  <c r="A27" i="2"/>
  <c r="A23" i="2"/>
  <c r="A19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J33" i="2" l="1"/>
  <c r="J31" i="2"/>
  <c r="J25" i="2"/>
  <c r="J23" i="2"/>
  <c r="J32" i="2"/>
  <c r="J24" i="2"/>
  <c r="J39" i="2"/>
  <c r="J37" i="2"/>
  <c r="J35" i="2"/>
  <c r="J17" i="2"/>
  <c r="J40" i="2"/>
  <c r="J20" i="2"/>
  <c r="J29" i="2"/>
  <c r="J27" i="2"/>
  <c r="J16" i="2"/>
  <c r="J21" i="2"/>
  <c r="J19" i="2"/>
  <c r="J38" i="2"/>
  <c r="J22" i="2"/>
  <c r="J30" i="2"/>
  <c r="J36" i="2"/>
  <c r="J28" i="2"/>
  <c r="J34" i="2"/>
  <c r="J26" i="2"/>
  <c r="J18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D29" i="56" l="1"/>
  <c r="E2" i="54"/>
  <c r="E3" i="54"/>
  <c r="E4" i="54"/>
  <c r="E5" i="54"/>
  <c r="E6" i="54"/>
  <c r="E7" i="54"/>
  <c r="E8" i="54"/>
  <c r="E9" i="54"/>
  <c r="E10" i="54"/>
  <c r="D5" i="56" l="1"/>
  <c r="C33" i="2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I8" i="2"/>
  <c r="I9" i="2"/>
  <c r="I10" i="2"/>
  <c r="I11" i="2"/>
  <c r="I12" i="2"/>
  <c r="I13" i="2"/>
  <c r="I14" i="2"/>
  <c r="I15" i="2"/>
  <c r="H8" i="2" l="1"/>
  <c r="J8" i="2" s="1"/>
  <c r="H9" i="2"/>
  <c r="J9" i="2" s="1"/>
  <c r="H10" i="2"/>
  <c r="J10" i="2" s="1"/>
  <c r="H11" i="2"/>
  <c r="J11" i="2" s="1"/>
  <c r="H12" i="2"/>
  <c r="J12" i="2" s="1"/>
  <c r="H13" i="2"/>
  <c r="H14" i="2"/>
  <c r="J14" i="2" s="1"/>
  <c r="H15" i="2"/>
  <c r="J13" i="2" l="1"/>
  <c r="J1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davide de beni</author>
  </authors>
  <commentList>
    <comment ref="A1" authorId="0" shapeId="0" xr:uid="{A8BB5F1D-230B-4232-AF42-5D96210F9657}">
      <text>
        <r>
          <rPr>
            <b/>
            <sz val="9"/>
            <color indexed="81"/>
            <rFont val="Tahoma"/>
            <family val="2"/>
          </rPr>
          <t>davide de beni:</t>
        </r>
        <r>
          <rPr>
            <sz val="9"/>
            <color indexed="81"/>
            <rFont val="Tahoma"/>
            <family val="2"/>
          </rPr>
          <t xml:space="preserve">
Source: LiST (v5.71) - WPP 2017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<sst xmlns="http://schemas.openxmlformats.org/spreadsheetml/2006/main" count="588" uniqueCount="299">
  <si>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</si>
  <si>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</si>
  <si>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</si>
  <si>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</si>
  <si>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</si>
  <si>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</si>
  <si>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</si>
  <si>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</si>
  <si>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</si>
  <si>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</si>
  <si>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</si>
  <si>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</si>
  <si>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</si>
  <si>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</si>
  <si>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</si>
  <si>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</si>
  <si>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</si>
  <si>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</si>
  <si>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</si>
  <si>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</si>
  <si>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</si>
  <si>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</si>
  <si>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</si>
  <si>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</si>
  <si>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</si>
  <si>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</si>
  <si>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</si>
  <si>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</si>
  <si>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</si>
  <si>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</si>
  <si>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</si>
  <si>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</si>
  <si>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</si>
  <si>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</si>
  <si>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</si>
  <si>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</si>
  <si>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</si>
  <si>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</si>
  <si>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</si>
  <si>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</si>
  <si>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</si>
  <si>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</si>
  <si>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</si>
  <si>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</si>
  <si>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</si>
  <si>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</si>
  <si>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</si>
  <si>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</si>
  <si>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</si>
  <si>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</si>
  <si>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</si>
  <si>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</si>
  <si>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</si>
  <si>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</si>
  <si>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</si>
  <si>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</si>
  <si>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</si>
  <si>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</si>
  <si>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</si>
  <si>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</si>
  <si>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</si>
  <si>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</si>
  <si>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</si>
  <si>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</si>
  <si>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</si>
  <si>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</si>
  <si>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</si>
  <si>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</si>
  <si>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</si>
  <si>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</si>
  <si>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</si>
  <si>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</si>
  <si>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</si>
  <si>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</si>
  <si>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</si>
  <si>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</si>
  <si>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</si>
  <si>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</si>
  <si>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</si>
  <si>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</si>
  <si>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</si>
  <si>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</si>
  <si>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</si>
  <si>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</si>
  <si>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</si>
  <si>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</si>
  <si>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</si>
  <si>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</si>
  <si>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</si>
  <si>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</si>
  <si>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</si>
  <si>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</si>
  <si>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</si>
  <si>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</si>
  <si>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</si>
  <si>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</si>
  <si>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</si>
  <si>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</si>
  <si>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</si>
  <si>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</si>
  <si>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</si>
  <si>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</si>
  <si>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</si>
  <si>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</si>
  <si>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</si>
  <si>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</si>
  <si>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</si>
  <si>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</si>
  <si>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</si>
  <si>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</si>
  <si>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</si>
  <si>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</si>
  <si>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</si>
  <si>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Children under 5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</si>
  <si>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</si>
  <si>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</si>
  <si>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</si>
  <si>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</si>
  <si>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</si>
  <si>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</si>
  <si>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</si>
  <si>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</si>
  <si>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</si>
  <si>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</si>
  <si>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</si>
  <si>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</si>
  <si>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</si>
  <si>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</si>
  <si>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</si>
  <si>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</si>
  <si>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</si>
  <si>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</si>
  <si>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</si>
  <si>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</si>
  <si>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</si>
  <si>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</si>
  <si>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</si>
  <si>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</si>
  <si>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</si>
  <si>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</si>
  <si>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</si>
  <si>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</si>
  <si>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</si>
  <si>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</si>
  <si>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</si>
  <si>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</si>
  <si>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</si>
  <si>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</si>
  <si>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</si>
  <si>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</si>
  <si>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</si>
  <si>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</si>
  <si>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</si>
  <si>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</si>
  <si>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</si>
  <si>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</si>
  <si>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</si>
  <si>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</si>
  <si>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</si>
  <si>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</si>
  <si>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</si>
  <si>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</si>
  <si>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</si>
  <si>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</si>
  <si>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</si>
  <si>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</si>
  <si>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Exclusive</t>
  </si>
  <si>
    <t>Predominant</t>
  </si>
  <si>
    <t>Partial</t>
  </si>
  <si>
    <t>None</t>
  </si>
  <si>
    <t>Maternal (deaths per 1,000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</si>
  <si>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</si>
  <si>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</si>
  <si>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</si>
  <si>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</si>
  <si>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</si>
  <si>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</si>
  <si>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</si>
  <si>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</si>
  <si>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</si>
  <si>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</si>
  <si>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</si>
  <si>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</si>
  <si>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</si>
  <si>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</si>
  <si>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</si>
  <si>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</si>
  <si>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</si>
  <si>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(hospital)</t>
  </si>
  <si>
    <t>IFAS (retailer)</t>
  </si>
  <si>
    <t>IFAS (school)</t>
  </si>
  <si>
    <t>IFAS for pregnant women (hospital)</t>
  </si>
  <si>
    <t>Projection years</t>
  </si>
  <si>
    <t>End year</t>
  </si>
  <si>
    <t>Baseline year (projection start year)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</si>
  <si>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</si>
  <si>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</si>
  <si>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</si>
  <si>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</si>
  <si>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</si>
  <si>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</si>
  <si>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</si>
  <si>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Unit cost (US$)</t>
  </si>
  <si>
    <t>WFP Comprehensive  Food Security and Vulnerability Analysis 2011-12 (Table 17 )</t>
  </si>
  <si>
    <t>Source National</t>
  </si>
  <si>
    <t>LiST (v5.71)</t>
  </si>
  <si>
    <t xml:space="preserve">   LiST (v5.71):  WHO estimates (2000-2015); http://www.who.int/healthinfo/global_burden_disease/estimates_child_cod_2015/en/</t>
  </si>
  <si>
    <t>LiST (v5.71) , DHS 2013</t>
  </si>
  <si>
    <t>Source: baseline coverage</t>
  </si>
  <si>
    <t>Source: unit cost</t>
  </si>
  <si>
    <t>Default Optima tool</t>
  </si>
  <si>
    <t>Source National:</t>
  </si>
  <si>
    <t>An Investment Framework for Nutrition; Shekar et al. 2017</t>
  </si>
  <si>
    <t>National</t>
  </si>
  <si>
    <t>Kinshasa</t>
  </si>
  <si>
    <t>Kwango</t>
  </si>
  <si>
    <t>Kwilu</t>
  </si>
  <si>
    <t>Mai-Ndombe</t>
  </si>
  <si>
    <t>Kongo Central</t>
  </si>
  <si>
    <t>Équateur</t>
  </si>
  <si>
    <t>Mongala</t>
  </si>
  <si>
    <t>Nord-Ubangi</t>
  </si>
  <si>
    <t>Sud-Ubangi</t>
  </si>
  <si>
    <t>Tshuapa</t>
  </si>
  <si>
    <t>Kasaï</t>
  </si>
  <si>
    <t>Kasaï Central</t>
  </si>
  <si>
    <t>Kasaï Oriental</t>
  </si>
  <si>
    <t>Lomami</t>
  </si>
  <si>
    <t>Sankuru</t>
  </si>
  <si>
    <t>Haut-Katanga</t>
  </si>
  <si>
    <t>Haut-Lomami</t>
  </si>
  <si>
    <t>Lualaba</t>
  </si>
  <si>
    <t>Tanganyika</t>
  </si>
  <si>
    <t>Maniema</t>
  </si>
  <si>
    <t>Nord-Kivu</t>
  </si>
  <si>
    <t>Bas-Uele</t>
  </si>
  <si>
    <t>Haut-Uele</t>
  </si>
  <si>
    <t>Ituri</t>
  </si>
  <si>
    <t>Tshopo</t>
  </si>
  <si>
    <t>Sud-Kivu</t>
  </si>
  <si>
    <t>Source</t>
  </si>
  <si>
    <t>Notes</t>
  </si>
  <si>
    <t>DHS 2013-14</t>
  </si>
  <si>
    <t>Calculated for women who were pregnant at the time of the survey</t>
  </si>
  <si>
    <t>Assuming here that severe is diarrhea is defined as diarrhea with blood. Calculated as a percentage of all diarrhea cases in past 2 weeks that were severe (had blood)</t>
  </si>
  <si>
    <t>Diarrhoea episode during the 2 weeks before survey</t>
  </si>
  <si>
    <t>All diarrhoea</t>
  </si>
  <si>
    <t>Diarrhoea with blood</t>
  </si>
  <si>
    <t>All diarrhoea &lt;1 month</t>
  </si>
  <si>
    <t>All diarrhoea 1-5 months</t>
  </si>
  <si>
    <t>All diarrhoea 6-11 months</t>
  </si>
  <si>
    <t>All diarrhoea 12-23 months</t>
  </si>
  <si>
    <t>All diarrhoea 24-59 months</t>
  </si>
  <si>
    <t>Malaria prevalence 0-5 yrs - Blood smear</t>
  </si>
  <si>
    <t>Malaria prevalence 0-5 yrs - Rapid diagnostic test</t>
  </si>
  <si>
    <t>Nutritional Status Distribution</t>
  </si>
  <si>
    <t>Anemia figures can be disaggregated into severe, moderate, mild if needed</t>
  </si>
  <si>
    <t>Prevalence - Children</t>
  </si>
  <si>
    <t>Data not available for children less than 6mnths, assume that only children about 6mnths were tested</t>
  </si>
  <si>
    <t>Prevalence - Pregnant women</t>
  </si>
  <si>
    <t>15-19 years</t>
  </si>
  <si>
    <t>Some of these figures are unreliable due to small sample size. For example, there were only 194 pregnant women age 15-49 in the entire sample, so when disaggregated by 26 provinces, some have a very small # of women</t>
  </si>
  <si>
    <t>20-29 years</t>
  </si>
  <si>
    <t>30-39 years</t>
  </si>
  <si>
    <t>40-49 years</t>
  </si>
  <si>
    <t>Prevalence - Women of reproductive age</t>
  </si>
  <si>
    <t>DHS - all diarrhoea 0-59 months</t>
  </si>
  <si>
    <t>0-59 months AVRIL</t>
  </si>
  <si>
    <t>0-59 months DHS</t>
  </si>
  <si>
    <t>Household recode</t>
  </si>
  <si>
    <t>Any method (% of married women age 15-49)</t>
  </si>
  <si>
    <t>Modern method (% of married women age 15-49)</t>
  </si>
  <si>
    <t>% of women aged 15-49 who had a live birth during 2 yrs preceding survey, and during most recent pregnancy, received SP / Fansidar during an antenatal visit</t>
  </si>
  <si>
    <t>% of women aged 15-49 who had a live birth during 2 yrs preceding survey, and during most recent pregnancy, took two or more doses and received at least one during a prenatal visit</t>
  </si>
  <si>
    <t>Among  children under 5 yrs who had diarrhoea episode during 2 weeks before survey</t>
  </si>
  <si>
    <t>Among youngest child age 6-59 months, % who were given vitamin A supplementation in past 6 months</t>
  </si>
  <si>
    <t xml:space="preserve">Among women who had live-birth in past five years, % who received a dose of Vitamin A post-partum for most recent born child </t>
  </si>
  <si>
    <t>Maternal mortality (per 100,000 live births)</t>
  </si>
  <si>
    <t>Four or more ANC visits</t>
  </si>
  <si>
    <t>Children age 12-23 months that received all recommended vaccines</t>
  </si>
  <si>
    <t>(http://datacompass.lshtm.ac.uk/115/</t>
  </si>
  <si>
    <t>Lee AC, Katz J, Blencowe H, et al. National and regional estimates of term and preterm babies born small for gestational age in 138 low-income and middle-income countries in 2010. Lancet Global Health 2013; 1(1): e26-36.</t>
  </si>
  <si>
    <t>Walker, Christa L. Fischer, et al. "Global burden of childhood pneumonia and diarrhoea." The Lancet 381.9875 (2013): 1405-1416.</t>
  </si>
  <si>
    <t>WHO estimates 1996-2012. Source: Stevens GA, Finucane MM, De-Regil LM, et al. Global, regional, and national trends in haemoglobin concentration and prevalence of total and severe anaemia in children and pregnant and non-pregnant women for 1995-2011: a systematic analysis of population-representative data. Lancet Global Health 2013; 1(1): e16-25. http://www.ncbi.nlm.nih.gov/pubmed/25103581. (Unpublished data from the authors.)</t>
  </si>
  <si>
    <t>No data in DHS - NATIONAL estimate</t>
  </si>
  <si>
    <t>NATIONAL estimate</t>
  </si>
  <si>
    <t>For women who had birth in past 5 yrs, percentage who took iron - NOTE - no infomration about whether given in hospital or community, and no information about folic acid</t>
  </si>
  <si>
    <t>Not available</t>
  </si>
  <si>
    <t>Notes: baseline coverage</t>
  </si>
  <si>
    <t xml:space="preserve">Ministere du plan - Institut National de la Statistique. 2017. Annuaire Statistique 2015. </t>
  </si>
  <si>
    <t>Percentage of population living below $1.90</t>
  </si>
  <si>
    <t>Mapped from old to new provinces</t>
  </si>
  <si>
    <t>2012-13 Household consumption survey</t>
  </si>
  <si>
    <t>Use National figure for proportion of population engaged in informal agriculture</t>
  </si>
  <si>
    <t>No data in DHS - used national estimate from List</t>
  </si>
  <si>
    <t>No data in DHS - used national estimate from datacompass</t>
  </si>
  <si>
    <t>No data in DHS - used national estimate from Lee et al</t>
  </si>
  <si>
    <t>No data in DHS - used national data form Walker</t>
  </si>
  <si>
    <t>Kasaï Central Baseline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</si>
</sst>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34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i/>
      <sz val="10"/>
      <color rgb="FF000000"/>
      <name val="Arial"/>
      <family val="2"/>
    </font>
    <font>
      <i/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2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</cellStyleXfs>
  <cellXfs count="183">
    <xf numFmtId="0" fontId="0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9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2" fontId="0" fillId="2" borderId="1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10" fontId="0" fillId="0" borderId="0" xfId="0" applyNumberFormat="1" applyFont="1" applyAlignment="1"/>
    <xf numFmtId="0" fontId="9" fillId="0" borderId="0" xfId="0" applyFont="1" applyAlignment="1">
      <alignment wrapText="1"/>
    </xf>
    <xf numFmtId="0" fontId="4" fillId="0" borderId="0" xfId="0" applyFont="1" applyFill="1" applyBorder="1" applyAlignment="1">
      <alignment horizontal="right"/>
    </xf>
    <xf numFmtId="0" fontId="11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5" fillId="0" borderId="0" xfId="0" applyFont="1" applyAlignment="1"/>
    <xf numFmtId="0" fontId="5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5" fillId="0" borderId="0" xfId="0" applyFont="1" applyAlignment="1">
      <alignment horizontal="right"/>
    </xf>
    <xf numFmtId="43" fontId="5" fillId="0" borderId="0" xfId="0" applyNumberFormat="1" applyFont="1" applyAlignment="1"/>
    <xf numFmtId="0" fontId="9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5" fillId="0" borderId="0" xfId="0" applyFont="1" applyAlignment="1">
      <alignment wrapText="1"/>
    </xf>
    <xf numFmtId="164" fontId="5" fillId="2" borderId="1" xfId="0" applyNumberFormat="1" applyFont="1" applyFill="1" applyBorder="1" applyAlignment="1"/>
    <xf numFmtId="164" fontId="10" fillId="3" borderId="1" xfId="9" applyNumberFormat="1" applyFont="1" applyFill="1" applyBorder="1" applyAlignment="1"/>
    <xf numFmtId="0" fontId="5" fillId="0" borderId="0" xfId="0" applyFont="1" applyAlignment="1">
      <alignment horizontal="right" wrapText="1"/>
    </xf>
    <xf numFmtId="0" fontId="5" fillId="0" borderId="0" xfId="0" applyFont="1" applyAlignment="1">
      <alignment horizontal="right" vertical="center"/>
    </xf>
    <xf numFmtId="1" fontId="10" fillId="3" borderId="1" xfId="9" applyNumberFormat="1" applyFont="1" applyFill="1" applyBorder="1" applyAlignment="1">
      <alignment horizontal="right"/>
    </xf>
    <xf numFmtId="0" fontId="4" fillId="0" borderId="0" xfId="0" applyFont="1" applyAlignment="1">
      <alignment horizontal="right" wrapText="1"/>
    </xf>
    <xf numFmtId="165" fontId="10" fillId="3" borderId="1" xfId="9" applyNumberFormat="1" applyFont="1" applyFill="1" applyBorder="1" applyAlignment="1">
      <alignment horizontal="right"/>
    </xf>
    <xf numFmtId="0" fontId="3" fillId="0" borderId="0" xfId="0" applyFont="1" applyAlignment="1">
      <alignment wrapText="1"/>
    </xf>
    <xf numFmtId="166" fontId="5" fillId="2" borderId="1" xfId="0" applyNumberFormat="1" applyFont="1" applyFill="1" applyBorder="1" applyAlignment="1">
      <alignment horizontal="right"/>
    </xf>
    <xf numFmtId="166" fontId="5" fillId="0" borderId="0" xfId="0" applyNumberFormat="1" applyFont="1" applyAlignment="1"/>
    <xf numFmtId="0" fontId="4" fillId="0" borderId="0" xfId="0" applyFont="1" applyFill="1" applyBorder="1" applyAlignment="1">
      <alignment horizontal="right" vertical="center" wrapText="1"/>
    </xf>
    <xf numFmtId="0" fontId="3" fillId="0" borderId="0" xfId="0" applyFont="1" applyAlignment="1">
      <alignment horizontal="right" wrapText="1"/>
    </xf>
    <xf numFmtId="0" fontId="13" fillId="0" borderId="0" xfId="0" applyFont="1" applyAlignment="1">
      <alignment horizontal="right" vertical="center"/>
    </xf>
    <xf numFmtId="166" fontId="10" fillId="3" borderId="1" xfId="10" applyNumberFormat="1" applyFont="1" applyFill="1" applyBorder="1" applyAlignment="1">
      <alignment horizontal="right"/>
    </xf>
    <xf numFmtId="0" fontId="0" fillId="0" borderId="0" xfId="0" applyFont="1" applyFill="1" applyAlignment="1">
      <alignment horizontal="right"/>
    </xf>
    <xf numFmtId="0" fontId="5" fillId="0" borderId="0" xfId="0" applyFont="1" applyFill="1" applyBorder="1" applyAlignment="1">
      <alignment horizontal="right"/>
    </xf>
    <xf numFmtId="2" fontId="10" fillId="3" borderId="0" xfId="0" applyNumberFormat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5" fillId="0" borderId="0" xfId="725" applyFont="1" applyAlignment="1"/>
    <xf numFmtId="0" fontId="5" fillId="0" borderId="0" xfId="725" applyFont="1" applyFill="1" applyAlignment="1"/>
    <xf numFmtId="0" fontId="5" fillId="0" borderId="0" xfId="725" applyNumberFormat="1" applyFont="1" applyFill="1" applyAlignment="1"/>
    <xf numFmtId="0" fontId="16" fillId="0" borderId="0" xfId="725" applyNumberFormat="1" applyFont="1" applyAlignment="1"/>
    <xf numFmtId="0" fontId="16" fillId="0" borderId="0" xfId="725" applyFont="1" applyAlignment="1"/>
    <xf numFmtId="0" fontId="9" fillId="0" borderId="0" xfId="725" applyFont="1" applyAlignment="1"/>
    <xf numFmtId="0" fontId="17" fillId="0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0" fontId="4" fillId="0" borderId="0" xfId="725" applyFont="1" applyAlignment="1"/>
    <xf numFmtId="0" fontId="5" fillId="0" borderId="2" xfId="725" applyFont="1" applyBorder="1" applyAlignment="1"/>
    <xf numFmtId="0" fontId="5" fillId="0" borderId="0" xfId="725" applyFont="1" applyBorder="1" applyAlignment="1"/>
    <xf numFmtId="166" fontId="5" fillId="2" borderId="1" xfId="725" applyNumberFormat="1" applyFont="1" applyFill="1" applyBorder="1" applyAlignment="1">
      <alignment horizontal="right" vertical="center"/>
    </xf>
    <xf numFmtId="0" fontId="9" fillId="0" borderId="6" xfId="725" applyFont="1" applyBorder="1" applyAlignment="1"/>
    <xf numFmtId="0" fontId="9" fillId="0" borderId="5" xfId="725" applyFont="1" applyBorder="1" applyAlignment="1"/>
    <xf numFmtId="0" fontId="9" fillId="0" borderId="1" xfId="725" applyFont="1" applyBorder="1" applyAlignment="1"/>
    <xf numFmtId="0" fontId="4" fillId="0" borderId="0" xfId="726" applyFont="1" applyFill="1" applyAlignment="1">
      <alignment horizontal="right"/>
    </xf>
    <xf numFmtId="9" fontId="4" fillId="2" borderId="1" xfId="725" applyNumberFormat="1" applyFont="1" applyFill="1" applyBorder="1" applyAlignment="1"/>
    <xf numFmtId="2" fontId="4" fillId="2" borderId="1" xfId="725" applyNumberFormat="1" applyFont="1" applyFill="1" applyBorder="1" applyAlignment="1"/>
    <xf numFmtId="0" fontId="3" fillId="0" borderId="0" xfId="725" applyFont="1" applyAlignment="1"/>
    <xf numFmtId="0" fontId="3" fillId="0" borderId="0" xfId="725" applyFont="1" applyAlignment="1">
      <alignment wrapText="1"/>
    </xf>
    <xf numFmtId="0" fontId="3" fillId="0" borderId="0" xfId="725" applyFont="1" applyFill="1" applyAlignment="1"/>
    <xf numFmtId="0" fontId="2" fillId="0" borderId="0" xfId="726"/>
    <xf numFmtId="2" fontId="2" fillId="0" borderId="0" xfId="726" applyNumberFormat="1"/>
    <xf numFmtId="0" fontId="2" fillId="0" borderId="0" xfId="726" applyFont="1" applyAlignment="1"/>
    <xf numFmtId="0" fontId="18" fillId="0" borderId="0" xfId="726" applyFont="1"/>
    <xf numFmtId="0" fontId="9" fillId="0" borderId="0" xfId="726" applyFont="1" applyAlignment="1"/>
    <xf numFmtId="0" fontId="9" fillId="0" borderId="0" xfId="726" applyFont="1" applyAlignment="1">
      <alignment wrapText="1"/>
    </xf>
    <xf numFmtId="0" fontId="9" fillId="0" borderId="0" xfId="0" applyFont="1" applyFill="1" applyAlignment="1"/>
    <xf numFmtId="0" fontId="5" fillId="0" borderId="0" xfId="725" applyFont="1" applyFill="1" applyAlignment="1">
      <alignment horizontal="right"/>
    </xf>
    <xf numFmtId="0" fontId="22" fillId="0" borderId="0" xfId="0" applyFont="1" applyFill="1" applyAlignment="1"/>
    <xf numFmtId="0" fontId="9" fillId="0" borderId="2" xfId="725" applyFont="1" applyBorder="1" applyAlignment="1"/>
    <xf numFmtId="0" fontId="5" fillId="2" borderId="1" xfId="10" applyNumberFormat="1" applyFont="1" applyFill="1" applyBorder="1" applyAlignment="1">
      <alignment horizontal="right"/>
    </xf>
    <xf numFmtId="0" fontId="5" fillId="2" borderId="1" xfId="10" applyNumberFormat="1" applyFont="1" applyFill="1" applyBorder="1" applyAlignment="1"/>
    <xf numFmtId="0" fontId="5" fillId="2" borderId="1" xfId="725" applyNumberFormat="1" applyFont="1" applyFill="1" applyBorder="1" applyAlignment="1">
      <alignment horizontal="right" vertical="center"/>
    </xf>
    <xf numFmtId="0" fontId="21" fillId="3" borderId="4" xfId="725" applyNumberFormat="1" applyFont="1" applyFill="1" applyBorder="1" applyAlignment="1"/>
    <xf numFmtId="0" fontId="5" fillId="3" borderId="3" xfId="725" applyNumberFormat="1" applyFont="1" applyFill="1" applyBorder="1" applyAlignment="1"/>
    <xf numFmtId="0" fontId="5" fillId="3" borderId="2" xfId="725" applyNumberFormat="1" applyFont="1" applyFill="1" applyBorder="1" applyAlignment="1"/>
    <xf numFmtId="0" fontId="5" fillId="0" borderId="0" xfId="725" applyNumberFormat="1" applyFont="1" applyAlignment="1"/>
    <xf numFmtId="164" fontId="5" fillId="2" borderId="1" xfId="9" applyNumberFormat="1" applyFont="1" applyFill="1" applyBorder="1" applyAlignment="1">
      <alignment horizontal="center"/>
    </xf>
    <xf numFmtId="164" fontId="5" fillId="2" borderId="1" xfId="9" applyNumberFormat="1" applyFont="1" applyFill="1" applyBorder="1" applyAlignment="1"/>
    <xf numFmtId="10" fontId="4" fillId="2" borderId="1" xfId="10" applyNumberFormat="1" applyFont="1" applyFill="1" applyBorder="1" applyAlignment="1">
      <alignment horizontal="right"/>
    </xf>
    <xf numFmtId="10" fontId="5" fillId="2" borderId="2" xfId="10" applyNumberFormat="1" applyFont="1" applyFill="1" applyBorder="1" applyAlignment="1">
      <alignment horizontal="right"/>
    </xf>
    <xf numFmtId="0" fontId="5" fillId="0" borderId="0" xfId="0" applyFont="1" applyAlignment="1">
      <alignment horizontal="left" indent="1"/>
    </xf>
    <xf numFmtId="43" fontId="5" fillId="0" borderId="0" xfId="0" applyNumberFormat="1" applyFont="1" applyAlignment="1">
      <alignment horizontal="left" indent="1"/>
    </xf>
    <xf numFmtId="0" fontId="9" fillId="5" borderId="1" xfId="0" applyFont="1" applyFill="1" applyBorder="1" applyAlignment="1">
      <alignment horizontal="left" indent="1"/>
    </xf>
    <xf numFmtId="0" fontId="5" fillId="0" borderId="0" xfId="0" applyFont="1" applyFill="1" applyAlignment="1">
      <alignment horizontal="right" wrapText="1"/>
    </xf>
    <xf numFmtId="0" fontId="9" fillId="5" borderId="1" xfId="0" applyFont="1" applyFill="1" applyBorder="1" applyAlignment="1">
      <alignment horizontal="left" wrapText="1" indent="1"/>
    </xf>
    <xf numFmtId="0" fontId="5" fillId="5" borderId="1" xfId="725" applyFont="1" applyFill="1" applyBorder="1" applyAlignment="1"/>
    <xf numFmtId="0" fontId="4" fillId="5" borderId="1" xfId="725" applyFont="1" applyFill="1" applyBorder="1" applyAlignment="1"/>
    <xf numFmtId="0" fontId="9" fillId="5" borderId="1" xfId="0" applyFont="1" applyFill="1" applyBorder="1" applyAlignment="1">
      <alignment horizontal="left" wrapText="1"/>
    </xf>
    <xf numFmtId="0" fontId="3" fillId="4" borderId="0" xfId="726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9" fillId="5" borderId="1" xfId="0" applyFont="1" applyFill="1" applyBorder="1" applyAlignment="1">
      <alignment horizontal="right" indent="1"/>
    </xf>
    <xf numFmtId="0" fontId="26" fillId="0" borderId="0" xfId="727" applyFont="1" applyFill="1"/>
    <xf numFmtId="0" fontId="27" fillId="0" borderId="0" xfId="727" applyFont="1" applyFill="1"/>
    <xf numFmtId="166" fontId="0" fillId="0" borderId="0" xfId="10" applyNumberFormat="1" applyFont="1"/>
    <xf numFmtId="0" fontId="0" fillId="0" borderId="0" xfId="0"/>
    <xf numFmtId="0" fontId="28" fillId="0" borderId="0" xfId="0" applyFont="1"/>
    <xf numFmtId="167" fontId="5" fillId="0" borderId="0" xfId="0" applyNumberFormat="1" applyFont="1" applyAlignment="1"/>
    <xf numFmtId="0" fontId="29" fillId="0" borderId="0" xfId="0" applyFont="1" applyAlignment="1">
      <alignment horizontal="right"/>
    </xf>
    <xf numFmtId="0" fontId="4" fillId="0" borderId="0" xfId="0" applyFont="1" applyFill="1" applyAlignment="1">
      <alignment horizontal="right" wrapText="1"/>
    </xf>
    <xf numFmtId="0" fontId="0" fillId="0" borderId="0" xfId="0" applyFill="1"/>
    <xf numFmtId="0" fontId="3" fillId="6" borderId="0" xfId="0" applyFont="1" applyFill="1" applyAlignment="1">
      <alignment wrapText="1"/>
    </xf>
    <xf numFmtId="0" fontId="3" fillId="0" borderId="0" xfId="0" applyFont="1" applyFill="1" applyAlignment="1"/>
    <xf numFmtId="0" fontId="0" fillId="6" borderId="0" xfId="0" applyFill="1" applyAlignment="1">
      <alignment horizontal="left"/>
    </xf>
    <xf numFmtId="0" fontId="3" fillId="0" borderId="0" xfId="0" applyFont="1" applyFill="1" applyAlignment="1">
      <alignment horizontal="right" wrapText="1"/>
    </xf>
    <xf numFmtId="0" fontId="4" fillId="6" borderId="0" xfId="0" applyFont="1" applyFill="1" applyAlignment="1"/>
    <xf numFmtId="0" fontId="30" fillId="0" borderId="0" xfId="0" applyFont="1" applyFill="1" applyAlignment="1">
      <alignment horizontal="right" wrapText="1"/>
    </xf>
    <xf numFmtId="9" fontId="28" fillId="0" borderId="0" xfId="0" applyNumberFormat="1" applyFont="1"/>
    <xf numFmtId="0" fontId="0" fillId="6" borderId="0" xfId="0" applyFont="1" applyFill="1" applyAlignment="1"/>
    <xf numFmtId="0" fontId="0" fillId="0" borderId="0" xfId="0" applyAlignment="1">
      <alignment wrapText="1"/>
    </xf>
    <xf numFmtId="0" fontId="3" fillId="0" borderId="0" xfId="0" applyFont="1" applyAlignment="1">
      <alignment horizontal="right"/>
    </xf>
    <xf numFmtId="166" fontId="28" fillId="0" borderId="0" xfId="0" applyNumberFormat="1" applyFont="1"/>
    <xf numFmtId="0" fontId="0" fillId="0" borderId="0" xfId="0" applyFont="1" applyFill="1" applyAlignment="1">
      <alignment wrapText="1"/>
    </xf>
    <xf numFmtId="0" fontId="0" fillId="6" borderId="0" xfId="0" applyFill="1"/>
    <xf numFmtId="0" fontId="9" fillId="0" borderId="0" xfId="0" applyFont="1" applyFill="1" applyAlignment="1">
      <alignment horizontal="right"/>
    </xf>
    <xf numFmtId="0" fontId="28" fillId="0" borderId="0" xfId="0" applyFont="1" applyFill="1"/>
    <xf numFmtId="0" fontId="3" fillId="0" borderId="0" xfId="0" applyFont="1" applyFill="1" applyAlignment="1">
      <alignment horizontal="right"/>
    </xf>
    <xf numFmtId="0" fontId="26" fillId="0" borderId="0" xfId="0" applyFont="1" applyFill="1"/>
    <xf numFmtId="166" fontId="0" fillId="0" borderId="0" xfId="0" applyNumberFormat="1" applyFont="1" applyAlignment="1"/>
    <xf numFmtId="0" fontId="5" fillId="5" borderId="1" xfId="0" applyFont="1" applyFill="1" applyBorder="1" applyAlignment="1">
      <alignment horizontal="left" vertical="center" wrapText="1"/>
    </xf>
    <xf numFmtId="166" fontId="5" fillId="0" borderId="0" xfId="10" applyNumberFormat="1" applyFont="1" applyAlignment="1"/>
    <xf numFmtId="0" fontId="31" fillId="0" borderId="0" xfId="0" applyFont="1" applyAlignment="1"/>
    <xf numFmtId="166" fontId="0" fillId="0" borderId="0" xfId="10" applyNumberFormat="1" applyFont="1" applyAlignment="1"/>
    <xf numFmtId="0" fontId="31" fillId="6" borderId="0" xfId="0" applyFont="1" applyFill="1" applyAlignment="1"/>
    <xf numFmtId="0" fontId="31" fillId="6" borderId="0" xfId="0" applyFont="1" applyFill="1" applyAlignment="1">
      <alignment horizontal="left"/>
    </xf>
    <xf numFmtId="0" fontId="5" fillId="5" borderId="1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/>
    <xf numFmtId="0" fontId="5" fillId="5" borderId="1" xfId="0" applyFont="1" applyFill="1" applyBorder="1" applyAlignment="1">
      <alignment horizontal="left" wrapText="1"/>
    </xf>
    <xf numFmtId="0" fontId="5" fillId="5" borderId="1" xfId="0" applyFont="1" applyFill="1" applyBorder="1" applyAlignment="1"/>
    <xf numFmtId="0" fontId="32" fillId="5" borderId="1" xfId="0" applyFont="1" applyFill="1" applyBorder="1"/>
    <xf numFmtId="0" fontId="33" fillId="5" borderId="1" xfId="727" applyFont="1" applyFill="1" applyBorder="1"/>
    <xf numFmtId="0" fontId="4" fillId="5" borderId="1" xfId="726" applyFont="1" applyFill="1" applyBorder="1" applyAlignment="1">
      <alignment horizontal="left"/>
    </xf>
    <xf numFmtId="2" fontId="10" fillId="2" borderId="1" xfId="725" applyNumberFormat="1" applyFont="1" applyFill="1" applyBorder="1" applyAlignment="1"/>
    <xf numFmtId="0" fontId="10" fillId="2" borderId="1" xfId="725" applyFont="1" applyFill="1" applyBorder="1" applyAlignment="1"/>
    <xf numFmtId="2" fontId="10" fillId="2" borderId="1" xfId="725" quotePrefix="1" applyNumberFormat="1" applyFont="1" applyFill="1" applyBorder="1" applyAlignment="1"/>
    <xf numFmtId="167" fontId="5" fillId="0" borderId="0" xfId="0" applyNumberFormat="1" applyFont="1" applyFill="1" applyBorder="1" applyAlignment="1"/>
    <xf numFmtId="0" fontId="28" fillId="0" borderId="0" xfId="0" applyFont="1" applyFill="1" applyBorder="1"/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0" fontId="5" fillId="5" borderId="3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vertical="center"/>
    </xf>
    <xf numFmtId="9" fontId="10" fillId="0" borderId="0" xfId="10" applyFont="1" applyFill="1" applyBorder="1" applyAlignment="1"/>
    <xf numFmtId="0" fontId="5" fillId="5" borderId="3" xfId="0" applyFont="1" applyFill="1" applyBorder="1" applyAlignment="1">
      <alignment horizontal="left" vertical="center" wrapText="1"/>
    </xf>
    <xf numFmtId="0" fontId="5" fillId="5" borderId="3" xfId="0" applyFont="1" applyFill="1" applyBorder="1" applyAlignment="1"/>
    <xf numFmtId="166" fontId="0" fillId="2" borderId="1" xfId="10" applyNumberFormat="1" applyFont="1" applyFill="1" applyBorder="1"/>
    <xf numFmtId="166" fontId="5" fillId="2" borderId="1" xfId="10" applyNumberFormat="1" applyFont="1" applyFill="1" applyBorder="1" applyAlignment="1"/>
    <xf numFmtId="167" fontId="0" fillId="2" borderId="1" xfId="0" applyNumberFormat="1" applyFill="1" applyBorder="1"/>
    <xf numFmtId="166" fontId="0" fillId="2" borderId="1" xfId="10" applyNumberFormat="1" applyFont="1" applyFill="1" applyBorder="1" applyAlignment="1"/>
    <xf numFmtId="167" fontId="5" fillId="2" borderId="1" xfId="0" applyNumberFormat="1" applyFont="1" applyFill="1" applyBorder="1" applyAlignment="1"/>
    <xf numFmtId="0" fontId="5" fillId="0" borderId="0" xfId="0" applyNumberFormat="1" applyFont="1" applyAlignment="1"/>
    <xf numFmtId="166" fontId="1" fillId="2" borderId="1" xfId="10" applyNumberFormat="1" applyFont="1" applyFill="1" applyBorder="1"/>
    <xf numFmtId="166" fontId="5" fillId="2" borderId="1" xfId="10" applyNumberFormat="1" applyFont="1" applyFill="1" applyBorder="1" applyAlignment="1">
      <alignment horizontal="right"/>
    </xf>
    <xf numFmtId="0" fontId="0" fillId="2" borderId="1" xfId="0" applyFill="1" applyBorder="1"/>
    <xf numFmtId="166" fontId="32" fillId="2" borderId="1" xfId="10" applyNumberFormat="1" applyFont="1" applyFill="1" applyBorder="1"/>
    <xf numFmtId="166" fontId="4" fillId="2" borderId="1" xfId="10" applyNumberFormat="1" applyFont="1" applyFill="1" applyBorder="1"/>
    <xf numFmtId="0" fontId="0" fillId="2" borderId="1" xfId="0" applyFont="1" applyFill="1" applyBorder="1" applyAlignment="1"/>
    <xf numFmtId="166" fontId="4" fillId="2" borderId="1" xfId="10" applyNumberFormat="1" applyFont="1" applyFill="1" applyBorder="1" applyAlignment="1"/>
    <xf numFmtId="10" fontId="0" fillId="2" borderId="1" xfId="10" applyNumberFormat="1" applyFont="1" applyFill="1" applyBorder="1"/>
    <xf numFmtId="166" fontId="0" fillId="2" borderId="1" xfId="0" applyNumberFormat="1" applyFill="1" applyBorder="1"/>
    <xf numFmtId="0" fontId="5" fillId="2" borderId="1" xfId="725" applyFont="1" applyFill="1" applyBorder="1" applyAlignment="1"/>
    <xf numFmtId="0" fontId="5" fillId="5" borderId="5" xfId="0" applyFont="1" applyFill="1" applyBorder="1" applyAlignment="1">
      <alignment vertical="center" wrapText="1"/>
    </xf>
    <xf numFmtId="0" fontId="5" fillId="5" borderId="7" xfId="0" applyFont="1" applyFill="1" applyBorder="1" applyAlignment="1">
      <alignment vertical="center" wrapText="1"/>
    </xf>
    <xf numFmtId="0" fontId="5" fillId="5" borderId="8" xfId="0" applyFont="1" applyFill="1" applyBorder="1" applyAlignment="1">
      <alignment vertical="center" wrapText="1"/>
    </xf>
    <xf numFmtId="43" fontId="5" fillId="5" borderId="3" xfId="0" applyNumberFormat="1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 wrapText="1" indent="1"/>
    </xf>
    <xf numFmtId="0" fontId="5" fillId="5" borderId="1" xfId="0" applyFont="1" applyFill="1" applyBorder="1" applyAlignment="1">
      <alignment horizontal="left" vertical="center"/>
    </xf>
    <xf numFmtId="43" fontId="5" fillId="5" borderId="1" xfId="0" applyNumberFormat="1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0" fillId="5" borderId="1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0" fontId="5" fillId="5" borderId="1" xfId="0" applyNumberFormat="1" applyFont="1" applyFill="1" applyBorder="1" applyAlignment="1">
      <alignment horizontal="center"/>
    </xf>
    <xf numFmtId="10" fontId="0" fillId="5" borderId="1" xfId="0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25" fillId="5" borderId="1" xfId="0" applyFont="1" applyFill="1" applyBorder="1" applyAlignment="1">
      <alignment horizontal="center" vertical="center" wrapText="1"/>
    </xf>
    <xf numFmtId="0" fontId="5" fillId="5" borderId="1" xfId="725" applyFont="1" applyFill="1" applyBorder="1" applyAlignment="1">
      <alignment horizontal="center" vertical="center" wrapText="1"/>
    </xf>
    <xf numFmtId="0" fontId="26" fillId="0" borderId="0" xfId="727" applyFont="1" applyFill="1" applyAlignment="1">
      <alignment wrapText="1"/>
    </xf>
  </cellXfs>
  <cellStyles count="72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4020000}"/>
    <cellStyle name="Normal 3" xfId="726" xr:uid="{00000000-0005-0000-0000-0000D5020000}"/>
    <cellStyle name="Normal 4" xfId="727" xr:uid="{00000000-0005-0000-0000-000003030000}"/>
    <cellStyle name="Percent" xfId="10" builtinId="5"/>
    <cellStyle name="Percent 2" xfId="728" xr:uid="{00000000-0005-0000-0000-000004030000}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CCFFCC"/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65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65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65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65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65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65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65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65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65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65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65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65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65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65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65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65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65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46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65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G72"/>
  <sheetViews>
    <sheetView tabSelected="1" zoomScale="119" zoomScaleNormal="115" workbookViewId="0">
      <selection activeCell="A4" sqref="A4"/>
    </sheetView>
  </sheetViews>
  <sheetFormatPr defaultColWidth="14.36328125" defaultRowHeight="15.75" customHeight="1" x14ac:dyDescent="0.25"/>
  <cols>
    <col min="1" max="1" width="30.6328125" style="15" customWidth="1"/>
    <col min="2" max="2" width="38.54296875" style="19" customWidth="1"/>
    <col min="3" max="3" width="14.36328125" style="15" customWidth="1"/>
    <col min="4" max="4" width="30.453125" style="84" customWidth="1"/>
    <col min="5" max="5" width="58.08984375" style="15" customWidth="1"/>
    <col min="6" max="16384" width="14.36328125" style="15"/>
  </cols>
  <sheetData>
    <row r="1" spans="1:6" ht="27" customHeight="1" x14ac:dyDescent="0.35">
      <c r="A1" s="1" t="s">
        <v>100</v>
      </c>
      <c r="B1" s="48" t="s">
        <v>165</v>
      </c>
      <c r="C1" s="95" t="s">
        <v>225</v>
      </c>
      <c r="D1" s="130" t="s">
        <v>240</v>
      </c>
      <c r="E1" s="130" t="s">
        <v>241</v>
      </c>
      <c r="F1" s="96"/>
    </row>
    <row r="2" spans="1:6" ht="16" customHeight="1" x14ac:dyDescent="0.3">
      <c r="A2" s="15" t="s">
        <v>192</v>
      </c>
      <c r="B2" s="48"/>
    </row>
    <row r="3" spans="1:6" ht="16" customHeight="1" x14ac:dyDescent="0.3">
      <c r="A3" s="1"/>
      <c r="B3" s="9" t="s">
        <v>194</v>
      </c>
      <c r="C3" s="73">
        <v>2017</v>
      </c>
    </row>
    <row r="4" spans="1:6" ht="16" customHeight="1" x14ac:dyDescent="0.3">
      <c r="A4" s="1"/>
      <c r="B4" s="12" t="s">
        <v>193</v>
      </c>
      <c r="C4" s="74">
        <v>2030</v>
      </c>
    </row>
    <row r="5" spans="1:6" ht="16" customHeight="1" x14ac:dyDescent="0.3">
      <c r="A5" s="1"/>
      <c r="B5" s="48"/>
    </row>
    <row r="6" spans="1:6" ht="15" customHeight="1" x14ac:dyDescent="0.25">
      <c r="A6" s="15" t="s">
        <v>48</v>
      </c>
    </row>
    <row r="7" spans="1:6" ht="15" customHeight="1" x14ac:dyDescent="0.35">
      <c r="B7" s="9" t="s">
        <v>106</v>
      </c>
      <c r="C7" s="155">
        <v>0.45</v>
      </c>
      <c r="D7" s="128" t="s">
        <v>203</v>
      </c>
      <c r="E7" s="132" t="s">
        <v>291</v>
      </c>
    </row>
    <row r="8" spans="1:6" ht="38.25" customHeight="1" x14ac:dyDescent="0.3">
      <c r="A8" s="124"/>
      <c r="B8" s="12" t="s">
        <v>107</v>
      </c>
      <c r="C8" s="149">
        <v>0.36609999999999998</v>
      </c>
      <c r="D8" s="128" t="s">
        <v>242</v>
      </c>
      <c r="E8" s="131" t="s">
        <v>253</v>
      </c>
    </row>
    <row r="9" spans="1:6" ht="38.25" customHeight="1" x14ac:dyDescent="0.3">
      <c r="A9" s="124"/>
      <c r="B9" s="12"/>
      <c r="C9" s="150">
        <v>0.47689999999999999</v>
      </c>
      <c r="D9" s="128" t="s">
        <v>242</v>
      </c>
      <c r="E9" s="131" t="s">
        <v>254</v>
      </c>
      <c r="F9" s="16"/>
    </row>
    <row r="10" spans="1:6" ht="15" customHeight="1" x14ac:dyDescent="0.3">
      <c r="A10" s="124"/>
      <c r="B10" s="12" t="s">
        <v>105</v>
      </c>
      <c r="C10" s="149">
        <v>0.60209999999999997</v>
      </c>
      <c r="D10" s="128" t="s">
        <v>242</v>
      </c>
      <c r="E10" s="132"/>
    </row>
    <row r="11" spans="1:6" ht="15" customHeight="1" x14ac:dyDescent="0.3">
      <c r="A11" s="124"/>
      <c r="B11" s="9" t="s">
        <v>108</v>
      </c>
      <c r="C11" s="149">
        <v>0.43219999999999997</v>
      </c>
      <c r="D11" s="128" t="s">
        <v>242</v>
      </c>
      <c r="E11" s="132" t="s">
        <v>278</v>
      </c>
    </row>
    <row r="12" spans="1:6" ht="15" customHeight="1" x14ac:dyDescent="0.3">
      <c r="A12" s="124"/>
      <c r="B12" s="9" t="s">
        <v>109</v>
      </c>
      <c r="C12" s="149">
        <v>0.499</v>
      </c>
      <c r="D12" s="128" t="s">
        <v>242</v>
      </c>
      <c r="E12" s="132" t="s">
        <v>279</v>
      </c>
    </row>
    <row r="13" spans="1:6" ht="15" customHeight="1" x14ac:dyDescent="0.3">
      <c r="A13" s="124"/>
      <c r="B13" s="9" t="s">
        <v>110</v>
      </c>
      <c r="C13" s="149">
        <v>0.22500000000000001</v>
      </c>
      <c r="D13" s="128" t="s">
        <v>242</v>
      </c>
      <c r="E13" s="132"/>
    </row>
    <row r="14" spans="1:6" ht="15" customHeight="1" x14ac:dyDescent="0.25">
      <c r="B14" s="15"/>
    </row>
    <row r="15" spans="1:6" ht="15" customHeight="1" x14ac:dyDescent="0.3">
      <c r="A15" s="15" t="s">
        <v>30</v>
      </c>
      <c r="B15" s="21"/>
    </row>
    <row r="16" spans="1:6" ht="15" customHeight="1" x14ac:dyDescent="0.25">
      <c r="B16" s="12" t="s">
        <v>94</v>
      </c>
      <c r="C16" s="150">
        <v>0.59699999999999998</v>
      </c>
      <c r="D16" s="128" t="s">
        <v>289</v>
      </c>
      <c r="E16" s="132" t="s">
        <v>293</v>
      </c>
    </row>
    <row r="17" spans="1:7" ht="15" customHeight="1" x14ac:dyDescent="0.25">
      <c r="B17" s="12" t="s">
        <v>95</v>
      </c>
      <c r="C17" s="150"/>
      <c r="D17" s="169"/>
      <c r="E17" s="132"/>
    </row>
    <row r="18" spans="1:7" ht="15" customHeight="1" x14ac:dyDescent="0.25">
      <c r="B18" s="12" t="s">
        <v>96</v>
      </c>
      <c r="C18" s="150"/>
      <c r="D18" s="169"/>
      <c r="E18" s="132"/>
    </row>
    <row r="19" spans="1:7" ht="15" customHeight="1" x14ac:dyDescent="0.25">
      <c r="B19" s="12" t="s">
        <v>97</v>
      </c>
      <c r="C19" s="150"/>
      <c r="D19" s="169"/>
      <c r="E19" s="132"/>
    </row>
    <row r="20" spans="1:7" ht="15" customHeight="1" x14ac:dyDescent="0.25">
      <c r="B20" s="12" t="s">
        <v>98</v>
      </c>
      <c r="C20" s="123"/>
    </row>
    <row r="21" spans="1:7" ht="15" customHeight="1" x14ac:dyDescent="0.25">
      <c r="B21" s="15"/>
      <c r="C21" s="123"/>
    </row>
    <row r="22" spans="1:7" ht="15" customHeight="1" x14ac:dyDescent="0.25">
      <c r="A22" s="15" t="s">
        <v>99</v>
      </c>
      <c r="C22" s="123"/>
    </row>
    <row r="23" spans="1:7" ht="15" customHeight="1" x14ac:dyDescent="0.35">
      <c r="A23" s="124"/>
      <c r="B23" s="22" t="s">
        <v>101</v>
      </c>
      <c r="C23" s="149">
        <v>0.10680000000000001</v>
      </c>
      <c r="D23" s="170" t="s">
        <v>242</v>
      </c>
      <c r="E23" s="133" t="s">
        <v>243</v>
      </c>
      <c r="F23" s="99"/>
    </row>
    <row r="24" spans="1:7" ht="15" customHeight="1" x14ac:dyDescent="0.35">
      <c r="A24" s="124"/>
      <c r="B24" s="22" t="s">
        <v>102</v>
      </c>
      <c r="C24" s="149">
        <v>0.51339999999999997</v>
      </c>
      <c r="D24" s="170"/>
      <c r="E24" s="133" t="s">
        <v>243</v>
      </c>
      <c r="F24" s="99"/>
    </row>
    <row r="25" spans="1:7" ht="15" customHeight="1" x14ac:dyDescent="0.35">
      <c r="A25" s="124"/>
      <c r="B25" s="22" t="s">
        <v>103</v>
      </c>
      <c r="C25" s="149">
        <v>0.33600000000000002</v>
      </c>
      <c r="D25" s="170"/>
      <c r="E25" s="133" t="s">
        <v>243</v>
      </c>
      <c r="F25" s="99"/>
    </row>
    <row r="26" spans="1:7" ht="15" customHeight="1" x14ac:dyDescent="0.35">
      <c r="A26" s="124"/>
      <c r="B26" s="22" t="s">
        <v>104</v>
      </c>
      <c r="C26" s="149">
        <v>4.3900000000000002E-2</v>
      </c>
      <c r="D26" s="170"/>
      <c r="E26" s="133" t="s">
        <v>243</v>
      </c>
      <c r="F26" s="99"/>
    </row>
    <row r="27" spans="1:7" ht="15" customHeight="1" x14ac:dyDescent="0.25">
      <c r="B27" s="22"/>
      <c r="C27" s="123"/>
    </row>
    <row r="28" spans="1:7" ht="15" customHeight="1" x14ac:dyDescent="0.25">
      <c r="A28" s="15" t="s">
        <v>197</v>
      </c>
      <c r="B28" s="22"/>
      <c r="C28" s="123"/>
      <c r="D28"/>
    </row>
    <row r="29" spans="1:7" ht="14.25" customHeight="1" x14ac:dyDescent="0.3">
      <c r="A29" s="124"/>
      <c r="B29" s="34" t="s">
        <v>75</v>
      </c>
      <c r="C29" s="152">
        <v>0.16900000000000001</v>
      </c>
      <c r="D29" s="170" t="s">
        <v>242</v>
      </c>
      <c r="E29" s="165"/>
    </row>
    <row r="30" spans="1:7" ht="14.25" customHeight="1" x14ac:dyDescent="0.35">
      <c r="A30" s="124"/>
      <c r="B30" s="34" t="s">
        <v>76</v>
      </c>
      <c r="C30" s="152">
        <v>9.0700000000000003E-2</v>
      </c>
      <c r="D30" s="170"/>
      <c r="E30" s="166"/>
      <c r="F30" s="99"/>
      <c r="G30" s="98"/>
    </row>
    <row r="31" spans="1:7" ht="14.25" customHeight="1" x14ac:dyDescent="0.35">
      <c r="A31" s="124"/>
      <c r="B31" s="34" t="s">
        <v>77</v>
      </c>
      <c r="C31" s="152">
        <v>0.14369999999999999</v>
      </c>
      <c r="D31" s="170"/>
      <c r="E31" s="166"/>
      <c r="F31" s="99"/>
      <c r="G31" s="98"/>
    </row>
    <row r="32" spans="1:7" ht="14.25" customHeight="1" x14ac:dyDescent="0.3">
      <c r="A32" s="124"/>
      <c r="B32" s="34" t="s">
        <v>78</v>
      </c>
      <c r="C32" s="152">
        <v>0.59660000000000002</v>
      </c>
      <c r="D32" s="170"/>
      <c r="E32" s="167"/>
    </row>
    <row r="33" spans="1:6" ht="13" x14ac:dyDescent="0.25">
      <c r="B33" s="36" t="s">
        <v>130</v>
      </c>
      <c r="C33" s="154"/>
    </row>
    <row r="34" spans="1:6" ht="15" customHeight="1" x14ac:dyDescent="0.25">
      <c r="C34" s="154"/>
    </row>
    <row r="35" spans="1:6" ht="15" customHeight="1" x14ac:dyDescent="0.3">
      <c r="A35" s="4" t="s">
        <v>136</v>
      </c>
      <c r="C35" s="154"/>
    </row>
    <row r="36" spans="1:6" ht="15" customHeight="1" x14ac:dyDescent="0.25">
      <c r="A36" s="15" t="s">
        <v>74</v>
      </c>
      <c r="B36" s="9"/>
      <c r="C36" s="154"/>
      <c r="D36"/>
    </row>
    <row r="37" spans="1:6" ht="15" customHeight="1" x14ac:dyDescent="0.3">
      <c r="A37" s="124"/>
      <c r="B37" s="49" t="s">
        <v>92</v>
      </c>
      <c r="C37" s="153">
        <v>21.271600000000003</v>
      </c>
      <c r="D37" s="170" t="s">
        <v>242</v>
      </c>
      <c r="E37" s="145"/>
      <c r="F37" s="100"/>
    </row>
    <row r="38" spans="1:6" ht="15" customHeight="1" x14ac:dyDescent="0.3">
      <c r="A38" s="124"/>
      <c r="B38" s="19" t="s">
        <v>91</v>
      </c>
      <c r="C38" s="153">
        <v>53.7074</v>
      </c>
      <c r="D38" s="170"/>
      <c r="E38" s="145"/>
      <c r="F38" s="100"/>
    </row>
    <row r="39" spans="1:6" ht="15" customHeight="1" x14ac:dyDescent="0.3">
      <c r="A39" s="124"/>
      <c r="B39" s="19" t="s">
        <v>90</v>
      </c>
      <c r="C39" s="153">
        <v>107.8999</v>
      </c>
      <c r="D39" s="170"/>
      <c r="E39" s="145"/>
      <c r="F39" s="139"/>
    </row>
    <row r="40" spans="1:6" ht="15" customHeight="1" x14ac:dyDescent="0.35">
      <c r="B40" s="19" t="s">
        <v>277</v>
      </c>
      <c r="C40" s="151">
        <v>846</v>
      </c>
      <c r="D40" s="170"/>
      <c r="E40" s="145" t="s">
        <v>285</v>
      </c>
      <c r="F40" s="140"/>
    </row>
    <row r="41" spans="1:6" ht="26.65" customHeight="1" x14ac:dyDescent="0.25">
      <c r="B41" s="19" t="s">
        <v>89</v>
      </c>
      <c r="C41" s="150">
        <v>0.13</v>
      </c>
      <c r="D41" s="122" t="s">
        <v>205</v>
      </c>
      <c r="E41" s="144" t="s">
        <v>294</v>
      </c>
      <c r="F41" s="141"/>
    </row>
    <row r="42" spans="1:6" ht="15" customHeight="1" x14ac:dyDescent="0.25">
      <c r="B42" s="49" t="s">
        <v>93</v>
      </c>
      <c r="C42" s="153">
        <v>27.27</v>
      </c>
      <c r="D42" s="129" t="s">
        <v>280</v>
      </c>
      <c r="E42" s="145" t="s">
        <v>295</v>
      </c>
      <c r="F42" s="142"/>
    </row>
    <row r="43" spans="1:6" ht="15.75" customHeight="1" x14ac:dyDescent="0.25">
      <c r="C43" s="154"/>
      <c r="D43" s="85"/>
      <c r="F43" s="143"/>
    </row>
    <row r="44" spans="1:6" ht="15.75" customHeight="1" x14ac:dyDescent="0.25">
      <c r="A44" s="15" t="s">
        <v>134</v>
      </c>
      <c r="C44" s="154"/>
      <c r="D44"/>
    </row>
    <row r="45" spans="1:6" ht="15.75" customHeight="1" x14ac:dyDescent="0.25">
      <c r="B45" s="19" t="s">
        <v>9</v>
      </c>
      <c r="C45" s="150">
        <v>1.9099999999999999E-2</v>
      </c>
      <c r="D45" s="171" t="s">
        <v>281</v>
      </c>
      <c r="E45" s="168" t="s">
        <v>296</v>
      </c>
    </row>
    <row r="46" spans="1:6" ht="15.75" customHeight="1" x14ac:dyDescent="0.25">
      <c r="B46" s="19" t="s">
        <v>11</v>
      </c>
      <c r="C46" s="150">
        <v>9.98E-2</v>
      </c>
      <c r="D46" s="171"/>
      <c r="E46" s="168"/>
    </row>
    <row r="47" spans="1:6" ht="15.75" customHeight="1" x14ac:dyDescent="0.25">
      <c r="B47" s="19" t="s">
        <v>12</v>
      </c>
      <c r="C47" s="150">
        <v>0.2</v>
      </c>
      <c r="D47" s="171"/>
      <c r="E47" s="168"/>
    </row>
    <row r="48" spans="1:6" ht="15" customHeight="1" x14ac:dyDescent="0.25">
      <c r="B48" s="19" t="s">
        <v>26</v>
      </c>
      <c r="C48" s="146"/>
      <c r="D48" s="85"/>
      <c r="E48" s="20"/>
    </row>
    <row r="49" spans="1:6" ht="15.75" customHeight="1" x14ac:dyDescent="0.25">
      <c r="D49" s="85"/>
    </row>
    <row r="50" spans="1:6" ht="15.75" customHeight="1" x14ac:dyDescent="0.25">
      <c r="A50" s="15" t="s">
        <v>72</v>
      </c>
      <c r="D50"/>
    </row>
    <row r="51" spans="1:6" ht="15.75" customHeight="1" x14ac:dyDescent="0.25">
      <c r="B51" s="19" t="s">
        <v>125</v>
      </c>
      <c r="C51" s="7">
        <v>3.3</v>
      </c>
      <c r="D51" s="171" t="s">
        <v>282</v>
      </c>
      <c r="E51" s="168" t="s">
        <v>297</v>
      </c>
    </row>
    <row r="52" spans="1:6" ht="15" customHeight="1" x14ac:dyDescent="0.25">
      <c r="B52" s="19" t="s">
        <v>126</v>
      </c>
      <c r="C52" s="7">
        <v>3.3</v>
      </c>
      <c r="D52" s="171"/>
      <c r="E52" s="168"/>
    </row>
    <row r="53" spans="1:6" ht="15.75" customHeight="1" x14ac:dyDescent="0.25">
      <c r="B53" s="19" t="s">
        <v>127</v>
      </c>
      <c r="C53" s="7">
        <v>3.3</v>
      </c>
      <c r="D53" s="171"/>
      <c r="E53" s="168"/>
    </row>
    <row r="54" spans="1:6" ht="15.75" customHeight="1" x14ac:dyDescent="0.25">
      <c r="B54" s="19" t="s">
        <v>128</v>
      </c>
      <c r="C54" s="7">
        <v>3.3</v>
      </c>
      <c r="D54" s="171"/>
      <c r="E54" s="168"/>
    </row>
    <row r="55" spans="1:6" ht="15.75" customHeight="1" x14ac:dyDescent="0.25">
      <c r="B55" s="19" t="s">
        <v>129</v>
      </c>
      <c r="C55" s="7">
        <v>3.3</v>
      </c>
      <c r="D55" s="171"/>
      <c r="E55" s="168"/>
    </row>
    <row r="57" spans="1:6" ht="15.75" customHeight="1" x14ac:dyDescent="0.25">
      <c r="A57" s="15" t="s">
        <v>135</v>
      </c>
      <c r="D57"/>
    </row>
    <row r="58" spans="1:6" ht="15.75" customHeight="1" x14ac:dyDescent="0.35">
      <c r="B58" s="9" t="s">
        <v>111</v>
      </c>
      <c r="C58" s="149">
        <v>0.16139999999999999</v>
      </c>
      <c r="D58" s="128" t="s">
        <v>242</v>
      </c>
      <c r="E58" s="148" t="s">
        <v>244</v>
      </c>
      <c r="F58" s="99"/>
    </row>
    <row r="59" spans="1:6" ht="65.650000000000006" customHeight="1" x14ac:dyDescent="0.25">
      <c r="B59" s="19" t="s">
        <v>133</v>
      </c>
      <c r="C59" s="156">
        <v>0.43519999999999998</v>
      </c>
      <c r="D59" s="122" t="s">
        <v>283</v>
      </c>
      <c r="E59" s="147" t="s">
        <v>284</v>
      </c>
    </row>
    <row r="60" spans="1:6" ht="15.75" customHeight="1" x14ac:dyDescent="0.25">
      <c r="C60" s="123"/>
    </row>
    <row r="61" spans="1:6" ht="15.75" customHeight="1" x14ac:dyDescent="0.3">
      <c r="A61" s="101" t="s">
        <v>245</v>
      </c>
      <c r="C61" s="97"/>
    </row>
    <row r="62" spans="1:6" ht="15.75" customHeight="1" x14ac:dyDescent="0.3">
      <c r="A62" s="124"/>
      <c r="B62" s="29" t="s">
        <v>246</v>
      </c>
      <c r="C62" s="149">
        <v>0.23600000000000002</v>
      </c>
      <c r="D62" s="128" t="s">
        <v>242</v>
      </c>
      <c r="E62" s="132"/>
    </row>
    <row r="63" spans="1:6" ht="15.75" customHeight="1" x14ac:dyDescent="0.3">
      <c r="A63" s="124"/>
      <c r="B63" s="29" t="s">
        <v>247</v>
      </c>
      <c r="C63" s="149">
        <v>3.7999999999999999E-2</v>
      </c>
      <c r="D63" s="128" t="s">
        <v>242</v>
      </c>
      <c r="E63" s="132"/>
    </row>
    <row r="64" spans="1:6" ht="15.75" customHeight="1" x14ac:dyDescent="0.3">
      <c r="A64" s="124"/>
      <c r="B64" s="102" t="s">
        <v>248</v>
      </c>
      <c r="C64" s="149">
        <v>0</v>
      </c>
      <c r="D64" s="128" t="s">
        <v>242</v>
      </c>
      <c r="E64" s="132"/>
    </row>
    <row r="65" spans="1:5" ht="15.75" customHeight="1" x14ac:dyDescent="0.3">
      <c r="A65" s="124"/>
      <c r="B65" s="102" t="s">
        <v>249</v>
      </c>
      <c r="C65" s="149">
        <v>0.123</v>
      </c>
      <c r="D65" s="128" t="s">
        <v>242</v>
      </c>
      <c r="E65" s="132"/>
    </row>
    <row r="66" spans="1:5" ht="15.75" customHeight="1" x14ac:dyDescent="0.3">
      <c r="A66" s="124"/>
      <c r="B66" s="102" t="s">
        <v>250</v>
      </c>
      <c r="C66" s="149">
        <v>0.4748</v>
      </c>
      <c r="D66" s="128" t="s">
        <v>242</v>
      </c>
      <c r="E66" s="132"/>
    </row>
    <row r="67" spans="1:5" ht="15.75" customHeight="1" x14ac:dyDescent="0.3">
      <c r="A67" s="124"/>
      <c r="B67" s="102" t="s">
        <v>251</v>
      </c>
      <c r="C67" s="149">
        <v>0.31280000000000002</v>
      </c>
      <c r="D67" s="128" t="s">
        <v>242</v>
      </c>
      <c r="E67" s="132"/>
    </row>
    <row r="68" spans="1:5" ht="15.75" customHeight="1" x14ac:dyDescent="0.3">
      <c r="A68" s="124"/>
      <c r="B68" s="102" t="s">
        <v>252</v>
      </c>
      <c r="C68" s="149">
        <v>0.17810000000000001</v>
      </c>
      <c r="D68" s="128" t="s">
        <v>242</v>
      </c>
      <c r="E68" s="132"/>
    </row>
    <row r="69" spans="1:5" ht="15.75" customHeight="1" x14ac:dyDescent="0.25">
      <c r="B69" s="102"/>
      <c r="C69" s="97"/>
    </row>
    <row r="70" spans="1:5" ht="15.75" customHeight="1" x14ac:dyDescent="0.3">
      <c r="A70" s="124"/>
      <c r="B70" s="19" t="s">
        <v>266</v>
      </c>
      <c r="C70" s="149">
        <v>0.23599999999999999</v>
      </c>
      <c r="D70" s="128" t="s">
        <v>242</v>
      </c>
      <c r="E70" s="132"/>
    </row>
    <row r="71" spans="1:5" ht="15.75" customHeight="1" x14ac:dyDescent="0.25">
      <c r="C71" s="123"/>
    </row>
    <row r="72" spans="1:5" ht="15.75" customHeight="1" x14ac:dyDescent="0.25">
      <c r="B72" s="19" t="s">
        <v>290</v>
      </c>
      <c r="C72" s="149">
        <v>0.87439999999999996</v>
      </c>
      <c r="D72" s="128" t="s">
        <v>292</v>
      </c>
      <c r="E72" s="132" t="s">
        <v>291</v>
      </c>
    </row>
  </sheetData>
  <mergeCells count="9">
    <mergeCell ref="E29:E32"/>
    <mergeCell ref="E45:E47"/>
    <mergeCell ref="E51:E55"/>
    <mergeCell ref="D17:D19"/>
    <mergeCell ref="D23:D26"/>
    <mergeCell ref="D29:D32"/>
    <mergeCell ref="D37:D40"/>
    <mergeCell ref="D45:D47"/>
    <mergeCell ref="D51:D55"/>
  </mergeCell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F9"/>
  <sheetViews>
    <sheetView zoomScale="60" zoomScaleNormal="60" workbookViewId="0">
      <selection activeCell="F20" sqref="F20"/>
    </sheetView>
  </sheetViews>
  <sheetFormatPr defaultColWidth="10.81640625" defaultRowHeight="15.5" x14ac:dyDescent="0.35"/>
  <cols>
    <col min="1" max="1" width="18.54296875" style="63" customWidth="1"/>
    <col min="2" max="5" width="10.81640625" style="63"/>
    <col min="6" max="6" width="17.7265625" style="63" customWidth="1"/>
    <col min="7" max="16384" width="10.81640625" style="63"/>
  </cols>
  <sheetData>
    <row r="1" spans="1:6" ht="52.5" x14ac:dyDescent="0.35">
      <c r="A1" s="68" t="s">
        <v>195</v>
      </c>
      <c r="B1" s="67" t="s">
        <v>176</v>
      </c>
      <c r="C1" s="67" t="s">
        <v>175</v>
      </c>
      <c r="D1" s="67" t="s">
        <v>174</v>
      </c>
      <c r="E1" s="67" t="s">
        <v>173</v>
      </c>
      <c r="F1" s="91" t="s">
        <v>209</v>
      </c>
    </row>
    <row r="2" spans="1:6" x14ac:dyDescent="0.35">
      <c r="A2" s="66" t="s">
        <v>165</v>
      </c>
      <c r="B2" s="65" t="s">
        <v>32</v>
      </c>
      <c r="C2" s="59">
        <f>1.5*0.61</f>
        <v>0.91500000000000004</v>
      </c>
      <c r="D2" s="59">
        <f>0.5*0.61</f>
        <v>0.30499999999999999</v>
      </c>
      <c r="E2" s="59">
        <v>0.05</v>
      </c>
      <c r="F2" s="181" t="s">
        <v>210</v>
      </c>
    </row>
    <row r="3" spans="1:6" x14ac:dyDescent="0.35">
      <c r="A3" s="65"/>
      <c r="B3" s="65" t="s">
        <v>1</v>
      </c>
      <c r="C3" s="59">
        <f>1.5*0.61</f>
        <v>0.91500000000000004</v>
      </c>
      <c r="D3" s="59">
        <f>0.5*0.61</f>
        <v>0.30499999999999999</v>
      </c>
      <c r="E3" s="59">
        <v>0.05</v>
      </c>
      <c r="F3" s="181"/>
    </row>
    <row r="4" spans="1:6" x14ac:dyDescent="0.35">
      <c r="A4" s="65"/>
      <c r="B4" s="65" t="s">
        <v>2</v>
      </c>
      <c r="C4" s="59">
        <f>1.5*0.61</f>
        <v>0.91500000000000004</v>
      </c>
      <c r="D4" s="59">
        <f>0.5*0.61</f>
        <v>0.30499999999999999</v>
      </c>
      <c r="E4" s="59">
        <v>0.05</v>
      </c>
      <c r="F4" s="181"/>
    </row>
    <row r="5" spans="1:6" x14ac:dyDescent="0.35">
      <c r="A5" s="65"/>
      <c r="B5" s="65" t="s">
        <v>3</v>
      </c>
      <c r="C5" s="59">
        <f>1.5*0.61</f>
        <v>0.91500000000000004</v>
      </c>
      <c r="D5" s="59">
        <f>0.5*0.61</f>
        <v>0.30499999999999999</v>
      </c>
      <c r="E5" s="59">
        <v>0.05</v>
      </c>
      <c r="F5" s="181"/>
    </row>
    <row r="6" spans="1:6" x14ac:dyDescent="0.35">
      <c r="A6" s="65"/>
      <c r="B6" s="65" t="s">
        <v>4</v>
      </c>
      <c r="C6" s="59">
        <f>1.5*0.61</f>
        <v>0.91500000000000004</v>
      </c>
      <c r="D6" s="59">
        <f>0.5*0.61</f>
        <v>0.30499999999999999</v>
      </c>
      <c r="E6" s="59">
        <v>0.05</v>
      </c>
      <c r="F6" s="181"/>
    </row>
    <row r="9" spans="1:6" x14ac:dyDescent="0.35">
      <c r="C9" s="64"/>
    </row>
  </sheetData>
  <mergeCells count="1">
    <mergeCell ref="F2:F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18"/>
  <sheetViews>
    <sheetView zoomScale="60" zoomScaleNormal="60" workbookViewId="0">
      <selection activeCell="F32" sqref="F32"/>
    </sheetView>
  </sheetViews>
  <sheetFormatPr defaultColWidth="11.36328125" defaultRowHeight="12.5" x14ac:dyDescent="0.25"/>
  <cols>
    <col min="1" max="1" width="53" style="57" bestFit="1" customWidth="1"/>
    <col min="2" max="2" width="47.81640625" style="42" customWidth="1"/>
    <col min="3" max="3" width="42.36328125" style="42" customWidth="1"/>
    <col min="4" max="16384" width="11.36328125" style="42"/>
  </cols>
  <sheetData>
    <row r="1" spans="1:3" ht="13" x14ac:dyDescent="0.3">
      <c r="A1" s="47" t="s">
        <v>69</v>
      </c>
      <c r="B1" s="47" t="s">
        <v>179</v>
      </c>
      <c r="C1" s="47" t="s">
        <v>178</v>
      </c>
    </row>
    <row r="2" spans="1:3" x14ac:dyDescent="0.25">
      <c r="A2" s="14" t="s">
        <v>186</v>
      </c>
      <c r="B2" s="53" t="s">
        <v>59</v>
      </c>
      <c r="C2" s="53"/>
    </row>
    <row r="3" spans="1:3" x14ac:dyDescent="0.25">
      <c r="A3" s="14" t="s">
        <v>191</v>
      </c>
      <c r="B3" s="53" t="s">
        <v>59</v>
      </c>
      <c r="C3" s="53"/>
    </row>
    <row r="4" spans="1:3" x14ac:dyDescent="0.25">
      <c r="A4" s="57" t="s">
        <v>58</v>
      </c>
      <c r="B4" s="53" t="s">
        <v>137</v>
      </c>
      <c r="C4" s="53"/>
    </row>
    <row r="5" spans="1:3" x14ac:dyDescent="0.25">
      <c r="A5" s="57" t="s">
        <v>138</v>
      </c>
      <c r="B5" s="53" t="s">
        <v>137</v>
      </c>
      <c r="C5" s="53"/>
    </row>
    <row r="11" spans="1:3" x14ac:dyDescent="0.25">
      <c r="A11" s="38"/>
    </row>
    <row r="12" spans="1:3" x14ac:dyDescent="0.25">
      <c r="A12" s="38"/>
    </row>
    <row r="13" spans="1:3" x14ac:dyDescent="0.25">
      <c r="A13" s="38"/>
    </row>
    <row r="14" spans="1:3" x14ac:dyDescent="0.25">
      <c r="A14" s="38"/>
    </row>
    <row r="15" spans="1:3" x14ac:dyDescent="0.25">
      <c r="A15" s="38"/>
    </row>
    <row r="16" spans="1:3" x14ac:dyDescent="0.25">
      <c r="A16" s="38"/>
    </row>
    <row r="17" spans="1:1" x14ac:dyDescent="0.25">
      <c r="A17" s="38"/>
    </row>
    <row r="18" spans="1:1" x14ac:dyDescent="0.25">
      <c r="A18" s="38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36328125" defaultRowHeight="12.5" x14ac:dyDescent="0.25"/>
  <cols>
    <col min="1" max="1" width="30.08984375" style="42" customWidth="1"/>
    <col min="2" max="16384" width="11.36328125" style="42"/>
  </cols>
  <sheetData>
    <row r="1" spans="1:1" ht="13" x14ac:dyDescent="0.3">
      <c r="A1" s="47" t="s">
        <v>69</v>
      </c>
    </row>
    <row r="2" spans="1:1" x14ac:dyDescent="0.25">
      <c r="A2" s="53" t="s">
        <v>198</v>
      </c>
    </row>
    <row r="3" spans="1:1" x14ac:dyDescent="0.25">
      <c r="A3" s="53" t="s">
        <v>57</v>
      </c>
    </row>
    <row r="4" spans="1:1" x14ac:dyDescent="0.25">
      <c r="A4" s="53" t="s">
        <v>34</v>
      </c>
    </row>
    <row r="5" spans="1:1" x14ac:dyDescent="0.25">
      <c r="A5" s="53" t="s">
        <v>83</v>
      </c>
    </row>
    <row r="6" spans="1:1" x14ac:dyDescent="0.25">
      <c r="A6" s="53" t="s">
        <v>82</v>
      </c>
    </row>
    <row r="7" spans="1:1" x14ac:dyDescent="0.25">
      <c r="A7" s="53" t="s">
        <v>81</v>
      </c>
    </row>
    <row r="8" spans="1:1" x14ac:dyDescent="0.25">
      <c r="A8" s="53" t="s">
        <v>79</v>
      </c>
    </row>
    <row r="9" spans="1:1" x14ac:dyDescent="0.25">
      <c r="A9" s="53" t="s">
        <v>80</v>
      </c>
    </row>
    <row r="10" spans="1:1" x14ac:dyDescent="0.25">
      <c r="A10" s="53"/>
    </row>
    <row r="11" spans="1:1" x14ac:dyDescent="0.25">
      <c r="A11" s="53"/>
    </row>
    <row r="12" spans="1:1" x14ac:dyDescent="0.25">
      <c r="A12" s="53"/>
    </row>
    <row r="13" spans="1:1" x14ac:dyDescent="0.25">
      <c r="A13" s="53"/>
    </row>
    <row r="14" spans="1:1" x14ac:dyDescent="0.25">
      <c r="A14" s="53"/>
    </row>
    <row r="15" spans="1:1" x14ac:dyDescent="0.25">
      <c r="A15" s="53"/>
    </row>
    <row r="16" spans="1:1" x14ac:dyDescent="0.25">
      <c r="A16" s="53"/>
    </row>
    <row r="17" spans="1:1" x14ac:dyDescent="0.25">
      <c r="A17" s="53"/>
    </row>
    <row r="18" spans="1:1" x14ac:dyDescent="0.25">
      <c r="A18" s="53"/>
    </row>
    <row r="19" spans="1:1" x14ac:dyDescent="0.25">
      <c r="A19" s="5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zoomScale="60" zoomScaleNormal="60" workbookViewId="0">
      <selection activeCell="I37" sqref="I37"/>
    </sheetView>
  </sheetViews>
  <sheetFormatPr defaultColWidth="14.36328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30">
        <f>'Baseline year population inputs'!C51</f>
        <v>3.3</v>
      </c>
      <c r="C2" s="30">
        <f>'Baseline year population inputs'!C52</f>
        <v>3.3</v>
      </c>
      <c r="D2" s="30">
        <f>'Baseline year population inputs'!C53</f>
        <v>3.3</v>
      </c>
      <c r="E2" s="30">
        <f>'Baseline year population inputs'!C54</f>
        <v>3.3</v>
      </c>
      <c r="F2" s="30">
        <f>'Baseline year population inputs'!C55</f>
        <v>3.3</v>
      </c>
    </row>
    <row r="3" spans="1:6" ht="15.75" customHeight="1" x14ac:dyDescent="0.25">
      <c r="A3" s="3" t="s">
        <v>65</v>
      </c>
      <c r="B3" s="30">
        <f>frac_mam_1month * 2.6</f>
        <v>0.45107737999999997</v>
      </c>
      <c r="C3" s="30">
        <f>frac_mam_1_5months * 2.6</f>
        <v>0.45107737999999997</v>
      </c>
      <c r="D3" s="30">
        <f>frac_mam_6_11months * 2.6</f>
        <v>0.20281820000000003</v>
      </c>
      <c r="E3" s="30">
        <f>frac_mam_12_23months * 2.6</f>
        <v>0.19074666000000001</v>
      </c>
      <c r="F3" s="30">
        <f>frac_mam_24_59months * 2.6</f>
        <v>5.7068440000000005E-2</v>
      </c>
    </row>
    <row r="4" spans="1:6" ht="15.75" customHeight="1" x14ac:dyDescent="0.25">
      <c r="A4" s="3" t="s">
        <v>66</v>
      </c>
      <c r="B4" s="30">
        <f>frac_sam_1month * 2.6</f>
        <v>4.9733059999999996E-2</v>
      </c>
      <c r="C4" s="30">
        <f>frac_sam_1_5months * 2.6</f>
        <v>4.9733059999999996E-2</v>
      </c>
      <c r="D4" s="30">
        <f>frac_sam_6_11months * 2.6</f>
        <v>0</v>
      </c>
      <c r="E4" s="30">
        <f>frac_sam_12_23months * 2.6</f>
        <v>0</v>
      </c>
      <c r="F4" s="30">
        <f>frac_sam_24_59months * 2.6</f>
        <v>2.1317140000000002E-2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39"/>
  <sheetViews>
    <sheetView zoomScale="60" zoomScaleNormal="60" workbookViewId="0">
      <selection activeCell="C1" sqref="C1"/>
    </sheetView>
  </sheetViews>
  <sheetFormatPr defaultColWidth="14.36328125" defaultRowHeight="15.75" customHeight="1" x14ac:dyDescent="0.25"/>
  <cols>
    <col min="1" max="1" width="20" bestFit="1" customWidth="1"/>
    <col min="2" max="2" width="45.81640625" customWidth="1"/>
    <col min="3" max="3" width="8.36328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089843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4" t="s">
        <v>61</v>
      </c>
      <c r="C2" s="40">
        <v>0</v>
      </c>
      <c r="D2" s="40">
        <f>food_insecure</f>
        <v>0.45</v>
      </c>
      <c r="E2" s="40">
        <f>food_insecure</f>
        <v>0.45</v>
      </c>
      <c r="F2" s="40">
        <f>food_insecure</f>
        <v>0.45</v>
      </c>
      <c r="G2" s="40">
        <f>food_insecure</f>
        <v>0.45</v>
      </c>
      <c r="H2" s="41">
        <v>0</v>
      </c>
      <c r="I2" s="41">
        <v>0</v>
      </c>
      <c r="J2" s="41">
        <v>0</v>
      </c>
      <c r="K2" s="41">
        <v>0</v>
      </c>
      <c r="L2" s="41">
        <v>0</v>
      </c>
      <c r="M2" s="41">
        <v>0</v>
      </c>
      <c r="N2" s="41">
        <v>0</v>
      </c>
      <c r="O2" s="41">
        <v>0</v>
      </c>
    </row>
    <row r="3" spans="1:15" ht="15.75" customHeight="1" x14ac:dyDescent="0.25">
      <c r="B3" s="9" t="s">
        <v>150</v>
      </c>
      <c r="C3" s="40">
        <v>1</v>
      </c>
      <c r="D3" s="40">
        <v>0</v>
      </c>
      <c r="E3" s="40">
        <v>0</v>
      </c>
      <c r="F3" s="40">
        <v>0</v>
      </c>
      <c r="G3" s="40">
        <v>0</v>
      </c>
      <c r="H3" s="41">
        <v>0</v>
      </c>
      <c r="I3" s="41">
        <v>0</v>
      </c>
      <c r="J3" s="41">
        <v>0</v>
      </c>
      <c r="K3" s="41">
        <v>0</v>
      </c>
      <c r="L3" s="41">
        <v>0</v>
      </c>
      <c r="M3" s="41">
        <v>0</v>
      </c>
      <c r="N3" s="41">
        <v>0</v>
      </c>
      <c r="O3" s="41">
        <v>0</v>
      </c>
    </row>
    <row r="4" spans="1:15" ht="15.75" customHeight="1" x14ac:dyDescent="0.25">
      <c r="B4" s="9" t="s">
        <v>196</v>
      </c>
      <c r="C4" s="40">
        <v>1</v>
      </c>
      <c r="D4" s="40">
        <v>0</v>
      </c>
      <c r="E4" s="40">
        <v>0</v>
      </c>
      <c r="F4" s="40">
        <v>0</v>
      </c>
      <c r="G4" s="40">
        <v>0</v>
      </c>
      <c r="H4" s="41">
        <v>0</v>
      </c>
      <c r="I4" s="41">
        <v>0</v>
      </c>
      <c r="J4" s="41">
        <v>0</v>
      </c>
      <c r="K4" s="41">
        <v>0</v>
      </c>
      <c r="L4" s="41">
        <v>0</v>
      </c>
      <c r="M4" s="41">
        <v>0</v>
      </c>
      <c r="N4" s="41">
        <v>0</v>
      </c>
      <c r="O4" s="41">
        <v>0</v>
      </c>
    </row>
    <row r="5" spans="1:15" ht="15.75" customHeight="1" x14ac:dyDescent="0.25">
      <c r="B5" s="14" t="s">
        <v>137</v>
      </c>
      <c r="C5" s="40">
        <v>0</v>
      </c>
      <c r="D5" s="40">
        <v>0</v>
      </c>
      <c r="E5" s="40">
        <f>food_insecure</f>
        <v>0.45</v>
      </c>
      <c r="F5" s="40">
        <f>food_insecure</f>
        <v>0.45</v>
      </c>
      <c r="G5" s="40">
        <v>0</v>
      </c>
      <c r="H5" s="41">
        <v>0</v>
      </c>
      <c r="I5" s="41">
        <v>0</v>
      </c>
      <c r="J5" s="41">
        <v>0</v>
      </c>
      <c r="K5" s="41">
        <v>0</v>
      </c>
      <c r="L5" s="41">
        <v>0</v>
      </c>
      <c r="M5" s="41">
        <v>0</v>
      </c>
      <c r="N5" s="41">
        <v>0</v>
      </c>
      <c r="O5" s="41">
        <v>0</v>
      </c>
    </row>
    <row r="6" spans="1:15" ht="15.75" customHeight="1" x14ac:dyDescent="0.25">
      <c r="B6" s="14" t="s">
        <v>138</v>
      </c>
      <c r="C6" s="40">
        <v>0</v>
      </c>
      <c r="D6" s="40">
        <v>0</v>
      </c>
      <c r="E6" s="40">
        <f>1</f>
        <v>1</v>
      </c>
      <c r="F6" s="40">
        <f>1</f>
        <v>1</v>
      </c>
      <c r="G6" s="40">
        <f>1</f>
        <v>1</v>
      </c>
      <c r="H6" s="41">
        <v>0</v>
      </c>
      <c r="I6" s="41">
        <v>0</v>
      </c>
      <c r="J6" s="41">
        <v>0</v>
      </c>
      <c r="K6" s="41">
        <v>0</v>
      </c>
      <c r="L6" s="41">
        <v>0</v>
      </c>
      <c r="M6" s="41">
        <v>0</v>
      </c>
      <c r="N6" s="41">
        <v>0</v>
      </c>
      <c r="O6" s="41">
        <v>0</v>
      </c>
    </row>
    <row r="7" spans="1:15" ht="15.75" customHeight="1" x14ac:dyDescent="0.25">
      <c r="B7" s="38" t="s">
        <v>84</v>
      </c>
      <c r="C7" s="40">
        <f>diarrhoea_1mo/26</f>
        <v>0.12692307692307692</v>
      </c>
      <c r="D7" s="40">
        <f>diarrhoea_1_5mo/26</f>
        <v>0.12692307692307692</v>
      </c>
      <c r="E7" s="40">
        <f>diarrhoea_6_11mo/26</f>
        <v>0.12692307692307692</v>
      </c>
      <c r="F7" s="40">
        <f>diarrhoea_12_23mo/26</f>
        <v>0.12692307692307692</v>
      </c>
      <c r="G7" s="40">
        <f>diarrhoea_24_59mo/26</f>
        <v>0.12692307692307692</v>
      </c>
      <c r="H7" s="41">
        <v>0</v>
      </c>
      <c r="I7" s="41">
        <v>0</v>
      </c>
      <c r="J7" s="41">
        <v>0</v>
      </c>
      <c r="K7" s="41">
        <v>0</v>
      </c>
      <c r="L7" s="41">
        <v>0</v>
      </c>
      <c r="M7" s="41">
        <v>0</v>
      </c>
      <c r="N7" s="41">
        <v>0</v>
      </c>
      <c r="O7" s="41">
        <v>0</v>
      </c>
    </row>
    <row r="8" spans="1:15" ht="15.75" customHeight="1" x14ac:dyDescent="0.25">
      <c r="B8" s="14" t="s">
        <v>58</v>
      </c>
      <c r="C8" s="40">
        <v>0</v>
      </c>
      <c r="D8" s="40">
        <v>0</v>
      </c>
      <c r="E8" s="40">
        <f>food_insecure</f>
        <v>0.45</v>
      </c>
      <c r="F8" s="40">
        <f>food_insecure</f>
        <v>0.45</v>
      </c>
      <c r="G8" s="40">
        <v>0</v>
      </c>
      <c r="H8" s="41">
        <v>0</v>
      </c>
      <c r="I8" s="41">
        <v>0</v>
      </c>
      <c r="J8" s="41">
        <v>0</v>
      </c>
      <c r="K8" s="41">
        <v>0</v>
      </c>
      <c r="L8" s="41">
        <v>0</v>
      </c>
      <c r="M8" s="41">
        <v>0</v>
      </c>
      <c r="N8" s="41">
        <v>0</v>
      </c>
      <c r="O8" s="41">
        <v>0</v>
      </c>
    </row>
    <row r="9" spans="1:15" ht="15.75" customHeight="1" x14ac:dyDescent="0.25">
      <c r="B9" s="14" t="s">
        <v>67</v>
      </c>
      <c r="C9" s="40">
        <v>0</v>
      </c>
      <c r="D9" s="40">
        <f>IF(ISBLANK(comm_deliv), frac_children_health_facility,1)</f>
        <v>0.499</v>
      </c>
      <c r="E9" s="40">
        <f>IF(ISBLANK(comm_deliv), frac_children_health_facility,1)</f>
        <v>0.499</v>
      </c>
      <c r="F9" s="40">
        <f>IF(ISBLANK(comm_deliv), frac_children_health_facility,1)</f>
        <v>0.499</v>
      </c>
      <c r="G9" s="40">
        <f>IF(ISBLANK(comm_deliv), frac_children_health_facility,1)</f>
        <v>0.499</v>
      </c>
      <c r="H9" s="41">
        <v>0</v>
      </c>
      <c r="I9" s="41">
        <v>0</v>
      </c>
      <c r="J9" s="41">
        <v>0</v>
      </c>
      <c r="K9" s="41">
        <v>0</v>
      </c>
      <c r="L9" s="41">
        <v>0</v>
      </c>
      <c r="M9" s="41">
        <v>0</v>
      </c>
      <c r="N9" s="41">
        <v>0</v>
      </c>
      <c r="O9" s="41">
        <v>0</v>
      </c>
    </row>
    <row r="10" spans="1:15" ht="15" customHeight="1" x14ac:dyDescent="0.25">
      <c r="B10" s="14" t="s">
        <v>28</v>
      </c>
      <c r="C10" s="40">
        <v>0</v>
      </c>
      <c r="D10" s="40">
        <v>0</v>
      </c>
      <c r="E10" s="40">
        <v>1</v>
      </c>
      <c r="F10" s="40">
        <v>1</v>
      </c>
      <c r="G10" s="40">
        <v>1</v>
      </c>
      <c r="H10" s="41">
        <v>0</v>
      </c>
      <c r="I10" s="41">
        <v>0</v>
      </c>
      <c r="J10" s="41">
        <v>0</v>
      </c>
      <c r="K10" s="41">
        <v>0</v>
      </c>
      <c r="L10" s="41">
        <v>0</v>
      </c>
      <c r="M10" s="41">
        <v>0</v>
      </c>
      <c r="N10" s="41">
        <v>0</v>
      </c>
      <c r="O10" s="41">
        <v>0</v>
      </c>
    </row>
    <row r="11" spans="1:15" ht="15.75" customHeight="1" x14ac:dyDescent="0.25">
      <c r="B11" s="38" t="s">
        <v>85</v>
      </c>
      <c r="C11" s="40">
        <f>diarrhoea_1mo/26</f>
        <v>0.12692307692307692</v>
      </c>
      <c r="D11" s="40">
        <f>diarrhoea_1_5mo/26</f>
        <v>0.12692307692307692</v>
      </c>
      <c r="E11" s="40">
        <f>diarrhoea_6_11mo/26</f>
        <v>0.12692307692307692</v>
      </c>
      <c r="F11" s="40">
        <f>diarrhoea_12_23mo/26</f>
        <v>0.12692307692307692</v>
      </c>
      <c r="G11" s="40">
        <f>diarrhoea_24_59mo/26</f>
        <v>0.12692307692307692</v>
      </c>
      <c r="H11" s="41">
        <v>0</v>
      </c>
      <c r="I11" s="41">
        <v>0</v>
      </c>
      <c r="J11" s="41">
        <v>0</v>
      </c>
      <c r="K11" s="41">
        <v>0</v>
      </c>
      <c r="L11" s="41">
        <v>0</v>
      </c>
      <c r="M11" s="41">
        <v>0</v>
      </c>
      <c r="N11" s="41">
        <v>0</v>
      </c>
      <c r="O11" s="41">
        <v>0</v>
      </c>
    </row>
    <row r="12" spans="1:15" ht="15.75" customHeight="1" x14ac:dyDescent="0.25">
      <c r="B12" s="14" t="s">
        <v>60</v>
      </c>
      <c r="C12" s="40">
        <v>0</v>
      </c>
      <c r="D12" s="40">
        <v>0</v>
      </c>
      <c r="E12" s="40">
        <v>1</v>
      </c>
      <c r="F12" s="40">
        <v>1</v>
      </c>
      <c r="G12" s="40">
        <v>1</v>
      </c>
      <c r="H12" s="41">
        <v>0</v>
      </c>
      <c r="I12" s="41">
        <v>0</v>
      </c>
      <c r="J12" s="41">
        <v>0</v>
      </c>
      <c r="K12" s="41">
        <v>0</v>
      </c>
      <c r="L12" s="41">
        <v>0</v>
      </c>
      <c r="M12" s="41">
        <v>0</v>
      </c>
      <c r="N12" s="41">
        <v>0</v>
      </c>
      <c r="O12" s="41">
        <v>0</v>
      </c>
    </row>
    <row r="13" spans="1:15" ht="15.75" customHeight="1" x14ac:dyDescent="0.25">
      <c r="B13" s="38"/>
    </row>
    <row r="14" spans="1:15" ht="15.75" customHeight="1" x14ac:dyDescent="0.3">
      <c r="A14" s="4" t="s">
        <v>32</v>
      </c>
      <c r="B14" s="38" t="s">
        <v>29</v>
      </c>
      <c r="C14" s="41">
        <v>0</v>
      </c>
      <c r="D14" s="41">
        <v>0</v>
      </c>
      <c r="E14" s="41">
        <v>0</v>
      </c>
      <c r="F14" s="41">
        <v>0</v>
      </c>
      <c r="G14" s="41">
        <v>0</v>
      </c>
      <c r="H14" s="40">
        <f>food_insecure</f>
        <v>0.45</v>
      </c>
      <c r="I14" s="40">
        <f>food_insecure</f>
        <v>0.45</v>
      </c>
      <c r="J14" s="40">
        <f>food_insecure</f>
        <v>0.45</v>
      </c>
      <c r="K14" s="40">
        <f>food_insecure</f>
        <v>0.45</v>
      </c>
      <c r="L14" s="41">
        <v>0</v>
      </c>
      <c r="M14" s="41">
        <v>0</v>
      </c>
      <c r="N14" s="41">
        <v>0</v>
      </c>
      <c r="O14" s="41">
        <v>0</v>
      </c>
    </row>
    <row r="15" spans="1:15" ht="15.75" customHeight="1" x14ac:dyDescent="0.3">
      <c r="A15" s="4"/>
      <c r="B15" s="14" t="s">
        <v>86</v>
      </c>
      <c r="C15" s="41">
        <v>0</v>
      </c>
      <c r="D15" s="41">
        <v>0</v>
      </c>
      <c r="E15" s="41">
        <v>0</v>
      </c>
      <c r="F15" s="41">
        <v>0</v>
      </c>
      <c r="G15" s="41">
        <v>0</v>
      </c>
      <c r="H15" s="40">
        <v>1</v>
      </c>
      <c r="I15" s="40">
        <v>1</v>
      </c>
      <c r="J15" s="40">
        <v>1</v>
      </c>
      <c r="K15" s="40">
        <v>1</v>
      </c>
      <c r="L15" s="41">
        <v>0</v>
      </c>
      <c r="M15" s="41">
        <v>0</v>
      </c>
      <c r="N15" s="41">
        <v>0</v>
      </c>
      <c r="O15" s="41">
        <v>0</v>
      </c>
    </row>
    <row r="16" spans="1:15" ht="15.75" customHeight="1" x14ac:dyDescent="0.3">
      <c r="A16" s="4"/>
      <c r="B16" s="14" t="s">
        <v>186</v>
      </c>
      <c r="C16" s="41">
        <v>0</v>
      </c>
      <c r="D16" s="41">
        <v>0</v>
      </c>
      <c r="E16" s="41">
        <v>0</v>
      </c>
      <c r="F16" s="41">
        <v>0</v>
      </c>
      <c r="G16" s="41">
        <v>0</v>
      </c>
      <c r="H16" s="40">
        <f xml:space="preserve"> 1</f>
        <v>1</v>
      </c>
      <c r="I16" s="40">
        <f xml:space="preserve"> 1</f>
        <v>1</v>
      </c>
      <c r="J16" s="40">
        <f xml:space="preserve"> 1</f>
        <v>1</v>
      </c>
      <c r="K16" s="40">
        <f xml:space="preserve"> 1</f>
        <v>1</v>
      </c>
      <c r="L16" s="41">
        <v>0</v>
      </c>
      <c r="M16" s="41">
        <v>0</v>
      </c>
      <c r="N16" s="41">
        <v>0</v>
      </c>
      <c r="O16" s="41">
        <v>0</v>
      </c>
    </row>
    <row r="17" spans="1:15" ht="15.75" customHeight="1" x14ac:dyDescent="0.3">
      <c r="A17" s="4"/>
      <c r="B17" s="14" t="s">
        <v>191</v>
      </c>
      <c r="C17" s="41">
        <v>0</v>
      </c>
      <c r="D17" s="41">
        <v>0</v>
      </c>
      <c r="E17" s="41">
        <v>0</v>
      </c>
      <c r="F17" s="41">
        <v>0</v>
      </c>
      <c r="G17" s="41">
        <v>0</v>
      </c>
      <c r="H17" s="40">
        <f>frac_PW_health_facility</f>
        <v>0.43219999999999997</v>
      </c>
      <c r="I17" s="40">
        <f>frac_PW_health_facility</f>
        <v>0.43219999999999997</v>
      </c>
      <c r="J17" s="40">
        <f>frac_PW_health_facility</f>
        <v>0.43219999999999997</v>
      </c>
      <c r="K17" s="40">
        <f>frac_PW_health_facility</f>
        <v>0.43219999999999997</v>
      </c>
      <c r="L17" s="41">
        <v>0</v>
      </c>
      <c r="M17" s="41">
        <v>0</v>
      </c>
      <c r="N17" s="41">
        <v>0</v>
      </c>
      <c r="O17" s="41">
        <v>0</v>
      </c>
    </row>
    <row r="18" spans="1:15" ht="15" customHeight="1" x14ac:dyDescent="0.25">
      <c r="B18" s="38" t="s">
        <v>57</v>
      </c>
      <c r="C18" s="41">
        <v>0</v>
      </c>
      <c r="D18" s="41">
        <v>0</v>
      </c>
      <c r="E18" s="41">
        <v>0</v>
      </c>
      <c r="F18" s="41">
        <v>0</v>
      </c>
      <c r="G18" s="41">
        <v>0</v>
      </c>
      <c r="H18" s="40">
        <f>frac_malaria_risk</f>
        <v>0.36609999999999998</v>
      </c>
      <c r="I18" s="40">
        <f>frac_malaria_risk</f>
        <v>0.36609999999999998</v>
      </c>
      <c r="J18" s="40">
        <f>frac_malaria_risk</f>
        <v>0.36609999999999998</v>
      </c>
      <c r="K18" s="40">
        <f>frac_malaria_risk</f>
        <v>0.36609999999999998</v>
      </c>
      <c r="L18" s="41">
        <v>0</v>
      </c>
      <c r="M18" s="41">
        <v>0</v>
      </c>
      <c r="N18" s="41">
        <v>0</v>
      </c>
      <c r="O18" s="41">
        <v>0</v>
      </c>
    </row>
    <row r="19" spans="1:15" ht="15.75" customHeight="1" x14ac:dyDescent="0.25">
      <c r="B19" s="14" t="s">
        <v>88</v>
      </c>
      <c r="C19" s="41">
        <v>0</v>
      </c>
      <c r="D19" s="41">
        <v>0</v>
      </c>
      <c r="E19" s="41">
        <v>0</v>
      </c>
      <c r="F19" s="41">
        <v>0</v>
      </c>
      <c r="G19" s="41">
        <v>0</v>
      </c>
      <c r="H19" s="40">
        <v>1</v>
      </c>
      <c r="I19" s="40">
        <v>1</v>
      </c>
      <c r="J19" s="40">
        <v>1</v>
      </c>
      <c r="K19" s="40">
        <v>1</v>
      </c>
      <c r="L19" s="41">
        <v>0</v>
      </c>
      <c r="M19" s="41">
        <v>0</v>
      </c>
      <c r="N19" s="41">
        <v>0</v>
      </c>
      <c r="O19" s="41">
        <v>0</v>
      </c>
    </row>
    <row r="20" spans="1:15" ht="15.75" customHeight="1" x14ac:dyDescent="0.25">
      <c r="B20" s="14" t="s">
        <v>87</v>
      </c>
      <c r="C20" s="41">
        <v>0</v>
      </c>
      <c r="D20" s="41">
        <v>0</v>
      </c>
      <c r="E20" s="41">
        <v>0</v>
      </c>
      <c r="F20" s="41">
        <v>0</v>
      </c>
      <c r="G20" s="41">
        <v>0</v>
      </c>
      <c r="H20" s="40">
        <v>1</v>
      </c>
      <c r="I20" s="40">
        <v>1</v>
      </c>
      <c r="J20" s="40">
        <v>1</v>
      </c>
      <c r="K20" s="40">
        <v>1</v>
      </c>
      <c r="L20" s="41">
        <v>0</v>
      </c>
      <c r="M20" s="41">
        <v>0</v>
      </c>
      <c r="N20" s="41">
        <v>0</v>
      </c>
      <c r="O20" s="41">
        <v>0</v>
      </c>
    </row>
    <row r="21" spans="1:15" ht="15.75" customHeight="1" x14ac:dyDescent="0.25">
      <c r="B21" s="38" t="s">
        <v>59</v>
      </c>
      <c r="C21" s="41">
        <v>0</v>
      </c>
      <c r="D21" s="41">
        <v>0</v>
      </c>
      <c r="E21" s="41">
        <v>0</v>
      </c>
      <c r="F21" s="41">
        <v>0</v>
      </c>
      <c r="G21" s="41">
        <v>0</v>
      </c>
      <c r="H21" s="40">
        <f>1</f>
        <v>1</v>
      </c>
      <c r="I21" s="40">
        <f>1</f>
        <v>1</v>
      </c>
      <c r="J21" s="40">
        <f>1</f>
        <v>1</v>
      </c>
      <c r="K21" s="40">
        <f>1</f>
        <v>1</v>
      </c>
      <c r="L21" s="41">
        <v>0</v>
      </c>
      <c r="M21" s="41">
        <v>0</v>
      </c>
      <c r="N21" s="41">
        <v>0</v>
      </c>
      <c r="O21" s="41">
        <v>0</v>
      </c>
    </row>
    <row r="22" spans="1:15" ht="15.75" customHeight="1" x14ac:dyDescent="0.25">
      <c r="B22" s="38"/>
    </row>
    <row r="23" spans="1:15" ht="15.75" customHeight="1" x14ac:dyDescent="0.3">
      <c r="A23" s="69" t="s">
        <v>37</v>
      </c>
      <c r="B23" s="70" t="s">
        <v>198</v>
      </c>
      <c r="C23" s="41">
        <v>0</v>
      </c>
      <c r="D23" s="41">
        <v>0</v>
      </c>
      <c r="E23" s="41">
        <v>0</v>
      </c>
      <c r="F23" s="41">
        <v>0</v>
      </c>
      <c r="G23" s="41">
        <v>0</v>
      </c>
      <c r="H23" s="41">
        <v>0</v>
      </c>
      <c r="I23" s="41">
        <v>0</v>
      </c>
      <c r="J23" s="41">
        <v>0</v>
      </c>
      <c r="K23" s="41">
        <v>0</v>
      </c>
      <c r="L23" s="40">
        <v>1</v>
      </c>
      <c r="M23" s="40">
        <v>1</v>
      </c>
      <c r="N23" s="40">
        <v>1</v>
      </c>
      <c r="O23" s="40">
        <v>1</v>
      </c>
    </row>
    <row r="24" spans="1:15" ht="15.75" customHeight="1" x14ac:dyDescent="0.25">
      <c r="B24" s="70" t="s">
        <v>187</v>
      </c>
      <c r="C24" s="41">
        <v>0</v>
      </c>
      <c r="D24" s="41">
        <v>0</v>
      </c>
      <c r="E24" s="41">
        <v>0</v>
      </c>
      <c r="F24" s="41">
        <v>0</v>
      </c>
      <c r="G24" s="41">
        <v>0</v>
      </c>
      <c r="H24" s="41">
        <v>0</v>
      </c>
      <c r="I24" s="41">
        <v>0</v>
      </c>
      <c r="J24" s="41">
        <v>0</v>
      </c>
      <c r="K24" s="41">
        <v>0</v>
      </c>
      <c r="L24" s="40">
        <f>(1-food_insecure)*(0.49)*(1-school_attendance) + food_insecure*(0.7)*(1-school_attendance)</f>
        <v>0.23257255000000004</v>
      </c>
      <c r="M24" s="40">
        <f>(1-food_insecure)*(0.49)+food_insecure*(0.7)</f>
        <v>0.58450000000000002</v>
      </c>
      <c r="N24" s="40">
        <f>(1-food_insecure)*(0.49)+food_insecure*(0.7)</f>
        <v>0.58450000000000002</v>
      </c>
      <c r="O24" s="40">
        <f>(1-food_insecure)*(0.49)+food_insecure*(0.7)</f>
        <v>0.58450000000000002</v>
      </c>
    </row>
    <row r="25" spans="1:15" ht="15.75" customHeight="1" x14ac:dyDescent="0.25">
      <c r="B25" s="70" t="s">
        <v>188</v>
      </c>
      <c r="C25" s="41">
        <v>0</v>
      </c>
      <c r="D25" s="41">
        <v>0</v>
      </c>
      <c r="E25" s="41">
        <v>0</v>
      </c>
      <c r="F25" s="41">
        <v>0</v>
      </c>
      <c r="G25" s="41">
        <v>0</v>
      </c>
      <c r="H25" s="41">
        <v>0</v>
      </c>
      <c r="I25" s="41">
        <v>0</v>
      </c>
      <c r="J25" s="41">
        <v>0</v>
      </c>
      <c r="K25" s="41">
        <v>0</v>
      </c>
      <c r="L25" s="40">
        <f>(1-food_insecure)*(0.21)*(1-school_attendance) + food_insecure*(0.3)*(1-school_attendance)</f>
        <v>9.9673950000000011E-2</v>
      </c>
      <c r="M25" s="40">
        <f>(1-food_insecure)*(0.21)+food_insecure*(0.3)</f>
        <v>0.2505</v>
      </c>
      <c r="N25" s="40">
        <f>(1-food_insecure)*(0.21)+food_insecure*(0.3)</f>
        <v>0.2505</v>
      </c>
      <c r="O25" s="40">
        <f>(1-food_insecure)*(0.21)+food_insecure*(0.3)</f>
        <v>0.2505</v>
      </c>
    </row>
    <row r="26" spans="1:15" ht="15.75" customHeight="1" x14ac:dyDescent="0.25">
      <c r="B26" s="70" t="s">
        <v>189</v>
      </c>
      <c r="C26" s="41">
        <v>0</v>
      </c>
      <c r="D26" s="41">
        <v>0</v>
      </c>
      <c r="E26" s="41">
        <v>0</v>
      </c>
      <c r="F26" s="41">
        <v>0</v>
      </c>
      <c r="G26" s="41">
        <v>0</v>
      </c>
      <c r="H26" s="41">
        <v>0</v>
      </c>
      <c r="I26" s="41">
        <v>0</v>
      </c>
      <c r="J26" s="41">
        <v>0</v>
      </c>
      <c r="K26" s="41">
        <v>0</v>
      </c>
      <c r="L26" s="40">
        <f>(1-food_insecure)*(0.3)*(1-school_attendance)</f>
        <v>6.5653500000000004E-2</v>
      </c>
      <c r="M26" s="40">
        <f>(1-food_insecure)*(0.3)</f>
        <v>0.16500000000000001</v>
      </c>
      <c r="N26" s="40">
        <f>(1-food_insecure)*(0.3)</f>
        <v>0.16500000000000001</v>
      </c>
      <c r="O26" s="40">
        <f>(1-food_insecure)*(0.3)</f>
        <v>0.16500000000000001</v>
      </c>
    </row>
    <row r="27" spans="1:15" ht="15.75" customHeight="1" x14ac:dyDescent="0.25">
      <c r="B27" s="70" t="s">
        <v>190</v>
      </c>
      <c r="C27" s="41">
        <v>0</v>
      </c>
      <c r="D27" s="41">
        <v>0</v>
      </c>
      <c r="E27" s="41">
        <v>0</v>
      </c>
      <c r="F27" s="41">
        <v>0</v>
      </c>
      <c r="G27" s="41">
        <v>0</v>
      </c>
      <c r="H27" s="41">
        <v>0</v>
      </c>
      <c r="I27" s="41">
        <v>0</v>
      </c>
      <c r="J27" s="41">
        <v>0</v>
      </c>
      <c r="K27" s="41">
        <v>0</v>
      </c>
      <c r="L27" s="40">
        <f>(1-food_insecure)*1*school_attendance + food_insecure*1*school_attendance</f>
        <v>0.60210000000000008</v>
      </c>
      <c r="M27" s="40">
        <v>0</v>
      </c>
      <c r="N27" s="40">
        <v>0</v>
      </c>
      <c r="O27" s="40">
        <v>0</v>
      </c>
    </row>
    <row r="28" spans="1:15" ht="15.75" customHeight="1" x14ac:dyDescent="0.25">
      <c r="B28" s="14"/>
      <c r="C28" s="2"/>
      <c r="D28" s="2"/>
      <c r="E28" s="13"/>
      <c r="F28" s="13"/>
      <c r="G28" s="13"/>
      <c r="H28" s="13"/>
      <c r="I28" s="13"/>
    </row>
    <row r="29" spans="1:15" ht="15.75" customHeight="1" x14ac:dyDescent="0.3">
      <c r="A29" s="4" t="s">
        <v>35</v>
      </c>
      <c r="B29" s="14" t="s">
        <v>63</v>
      </c>
      <c r="C29" s="40">
        <v>0</v>
      </c>
      <c r="D29" s="40">
        <v>0</v>
      </c>
      <c r="E29" s="40">
        <f t="shared" ref="E29:O29" si="0">frac_maize</f>
        <v>0</v>
      </c>
      <c r="F29" s="40">
        <f t="shared" si="0"/>
        <v>0</v>
      </c>
      <c r="G29" s="40">
        <f t="shared" si="0"/>
        <v>0</v>
      </c>
      <c r="H29" s="40">
        <f t="shared" si="0"/>
        <v>0</v>
      </c>
      <c r="I29" s="40">
        <f t="shared" si="0"/>
        <v>0</v>
      </c>
      <c r="J29" s="40">
        <f t="shared" si="0"/>
        <v>0</v>
      </c>
      <c r="K29" s="40">
        <f t="shared" si="0"/>
        <v>0</v>
      </c>
      <c r="L29" s="40">
        <f t="shared" si="0"/>
        <v>0</v>
      </c>
      <c r="M29" s="40">
        <f t="shared" si="0"/>
        <v>0</v>
      </c>
      <c r="N29" s="40">
        <f t="shared" si="0"/>
        <v>0</v>
      </c>
      <c r="O29" s="40">
        <f t="shared" si="0"/>
        <v>0</v>
      </c>
    </row>
    <row r="30" spans="1:15" ht="15.75" customHeight="1" x14ac:dyDescent="0.25">
      <c r="B30" s="14" t="s">
        <v>64</v>
      </c>
      <c r="C30" s="40">
        <v>0</v>
      </c>
      <c r="D30" s="40">
        <v>0</v>
      </c>
      <c r="E30" s="40">
        <f t="shared" ref="E30:O30" si="1">frac_rice</f>
        <v>0</v>
      </c>
      <c r="F30" s="40">
        <f t="shared" si="1"/>
        <v>0</v>
      </c>
      <c r="G30" s="40">
        <f t="shared" si="1"/>
        <v>0</v>
      </c>
      <c r="H30" s="40">
        <f t="shared" si="1"/>
        <v>0</v>
      </c>
      <c r="I30" s="40">
        <f t="shared" si="1"/>
        <v>0</v>
      </c>
      <c r="J30" s="40">
        <f t="shared" si="1"/>
        <v>0</v>
      </c>
      <c r="K30" s="40">
        <f t="shared" si="1"/>
        <v>0</v>
      </c>
      <c r="L30" s="40">
        <f t="shared" si="1"/>
        <v>0</v>
      </c>
      <c r="M30" s="40">
        <f t="shared" si="1"/>
        <v>0</v>
      </c>
      <c r="N30" s="40">
        <f t="shared" si="1"/>
        <v>0</v>
      </c>
      <c r="O30" s="40">
        <f t="shared" si="1"/>
        <v>0</v>
      </c>
    </row>
    <row r="31" spans="1:15" ht="15.75" customHeight="1" x14ac:dyDescent="0.25">
      <c r="B31" s="14" t="s">
        <v>62</v>
      </c>
      <c r="C31" s="40">
        <v>0</v>
      </c>
      <c r="D31" s="40">
        <v>0</v>
      </c>
      <c r="E31" s="40">
        <f t="shared" ref="E31:O31" si="2">frac_wheat</f>
        <v>0</v>
      </c>
      <c r="F31" s="40">
        <f t="shared" si="2"/>
        <v>0</v>
      </c>
      <c r="G31" s="40">
        <f t="shared" si="2"/>
        <v>0</v>
      </c>
      <c r="H31" s="40">
        <f t="shared" si="2"/>
        <v>0</v>
      </c>
      <c r="I31" s="40">
        <f t="shared" si="2"/>
        <v>0</v>
      </c>
      <c r="J31" s="40">
        <f t="shared" si="2"/>
        <v>0</v>
      </c>
      <c r="K31" s="40">
        <f t="shared" si="2"/>
        <v>0</v>
      </c>
      <c r="L31" s="40">
        <f t="shared" si="2"/>
        <v>0</v>
      </c>
      <c r="M31" s="40">
        <f t="shared" si="2"/>
        <v>0</v>
      </c>
      <c r="N31" s="40">
        <f t="shared" si="2"/>
        <v>0</v>
      </c>
      <c r="O31" s="40">
        <f t="shared" si="2"/>
        <v>0</v>
      </c>
    </row>
    <row r="32" spans="1:15" ht="15.75" customHeight="1" x14ac:dyDescent="0.25">
      <c r="B32" s="14" t="s">
        <v>47</v>
      </c>
      <c r="C32" s="40">
        <v>0</v>
      </c>
      <c r="D32" s="40">
        <v>0</v>
      </c>
      <c r="E32" s="40">
        <v>1</v>
      </c>
      <c r="F32" s="40">
        <v>1</v>
      </c>
      <c r="G32" s="40">
        <v>1</v>
      </c>
      <c r="H32" s="40">
        <v>1</v>
      </c>
      <c r="I32" s="40">
        <v>1</v>
      </c>
      <c r="J32" s="40">
        <v>1</v>
      </c>
      <c r="K32" s="40">
        <v>1</v>
      </c>
      <c r="L32" s="40">
        <v>1</v>
      </c>
      <c r="M32" s="40">
        <v>1</v>
      </c>
      <c r="N32" s="40">
        <v>1</v>
      </c>
      <c r="O32" s="40">
        <v>1</v>
      </c>
    </row>
    <row r="33" spans="1:15" ht="15.75" customHeight="1" x14ac:dyDescent="0.25">
      <c r="B33" s="14" t="s">
        <v>34</v>
      </c>
      <c r="C33" s="40">
        <f t="shared" ref="C33:O33" si="3">frac_malaria_risk</f>
        <v>0.36609999999999998</v>
      </c>
      <c r="D33" s="40">
        <f t="shared" si="3"/>
        <v>0.36609999999999998</v>
      </c>
      <c r="E33" s="40">
        <f t="shared" si="3"/>
        <v>0.36609999999999998</v>
      </c>
      <c r="F33" s="40">
        <f t="shared" si="3"/>
        <v>0.36609999999999998</v>
      </c>
      <c r="G33" s="40">
        <f t="shared" si="3"/>
        <v>0.36609999999999998</v>
      </c>
      <c r="H33" s="40">
        <f t="shared" si="3"/>
        <v>0.36609999999999998</v>
      </c>
      <c r="I33" s="40">
        <f t="shared" si="3"/>
        <v>0.36609999999999998</v>
      </c>
      <c r="J33" s="40">
        <f t="shared" si="3"/>
        <v>0.36609999999999998</v>
      </c>
      <c r="K33" s="40">
        <f t="shared" si="3"/>
        <v>0.36609999999999998</v>
      </c>
      <c r="L33" s="40">
        <f t="shared" si="3"/>
        <v>0.36609999999999998</v>
      </c>
      <c r="M33" s="40">
        <f t="shared" si="3"/>
        <v>0.36609999999999998</v>
      </c>
      <c r="N33" s="40">
        <f t="shared" si="3"/>
        <v>0.36609999999999998</v>
      </c>
      <c r="O33" s="40">
        <f t="shared" si="3"/>
        <v>0.36609999999999998</v>
      </c>
    </row>
    <row r="34" spans="1:15" ht="15.75" customHeight="1" x14ac:dyDescent="0.25">
      <c r="B34" s="38" t="s">
        <v>83</v>
      </c>
      <c r="C34" s="40">
        <v>1</v>
      </c>
      <c r="D34" s="40">
        <v>1</v>
      </c>
      <c r="E34" s="40">
        <v>1</v>
      </c>
      <c r="F34" s="40">
        <v>1</v>
      </c>
      <c r="G34" s="40">
        <v>1</v>
      </c>
      <c r="H34" s="40">
        <v>1</v>
      </c>
      <c r="I34" s="40">
        <v>1</v>
      </c>
      <c r="J34" s="40">
        <v>1</v>
      </c>
      <c r="K34" s="40">
        <v>1</v>
      </c>
      <c r="L34" s="40">
        <v>1</v>
      </c>
      <c r="M34" s="40">
        <v>1</v>
      </c>
      <c r="N34" s="40">
        <v>1</v>
      </c>
      <c r="O34" s="40">
        <v>1</v>
      </c>
    </row>
    <row r="35" spans="1:15" ht="15.75" customHeight="1" x14ac:dyDescent="0.25">
      <c r="A35" s="5"/>
      <c r="B35" s="38" t="s">
        <v>82</v>
      </c>
      <c r="C35" s="40">
        <v>1</v>
      </c>
      <c r="D35" s="40">
        <v>1</v>
      </c>
      <c r="E35" s="40">
        <v>1</v>
      </c>
      <c r="F35" s="40">
        <v>1</v>
      </c>
      <c r="G35" s="40">
        <v>1</v>
      </c>
      <c r="H35" s="40">
        <v>1</v>
      </c>
      <c r="I35" s="40">
        <v>1</v>
      </c>
      <c r="J35" s="40">
        <v>1</v>
      </c>
      <c r="K35" s="40">
        <v>1</v>
      </c>
      <c r="L35" s="40">
        <v>1</v>
      </c>
      <c r="M35" s="40">
        <v>1</v>
      </c>
      <c r="N35" s="40">
        <v>1</v>
      </c>
      <c r="O35" s="40">
        <v>1</v>
      </c>
    </row>
    <row r="36" spans="1:15" s="5" customFormat="1" ht="15.75" customHeight="1" x14ac:dyDescent="0.25">
      <c r="B36" s="38" t="s">
        <v>81</v>
      </c>
      <c r="C36" s="40">
        <v>1</v>
      </c>
      <c r="D36" s="40">
        <v>1</v>
      </c>
      <c r="E36" s="40">
        <v>1</v>
      </c>
      <c r="F36" s="40">
        <v>1</v>
      </c>
      <c r="G36" s="40">
        <v>1</v>
      </c>
      <c r="H36" s="40">
        <v>1</v>
      </c>
      <c r="I36" s="40">
        <v>1</v>
      </c>
      <c r="J36" s="40">
        <v>1</v>
      </c>
      <c r="K36" s="40">
        <v>1</v>
      </c>
      <c r="L36" s="40">
        <v>1</v>
      </c>
      <c r="M36" s="40">
        <v>1</v>
      </c>
      <c r="N36" s="40">
        <v>1</v>
      </c>
      <c r="O36" s="40">
        <v>1</v>
      </c>
    </row>
    <row r="37" spans="1:15" s="5" customFormat="1" ht="15.75" customHeight="1" x14ac:dyDescent="0.25">
      <c r="B37" s="38" t="s">
        <v>79</v>
      </c>
      <c r="C37" s="40">
        <v>1</v>
      </c>
      <c r="D37" s="40">
        <v>1</v>
      </c>
      <c r="E37" s="40">
        <v>1</v>
      </c>
      <c r="F37" s="40">
        <v>1</v>
      </c>
      <c r="G37" s="40">
        <v>1</v>
      </c>
      <c r="H37" s="40">
        <v>1</v>
      </c>
      <c r="I37" s="40">
        <v>1</v>
      </c>
      <c r="J37" s="40">
        <v>1</v>
      </c>
      <c r="K37" s="40">
        <v>1</v>
      </c>
      <c r="L37" s="40">
        <v>1</v>
      </c>
      <c r="M37" s="40">
        <v>1</v>
      </c>
      <c r="N37" s="40">
        <v>1</v>
      </c>
      <c r="O37" s="40">
        <v>1</v>
      </c>
    </row>
    <row r="38" spans="1:15" s="5" customFormat="1" ht="15.75" customHeight="1" x14ac:dyDescent="0.25">
      <c r="B38" s="38" t="s">
        <v>80</v>
      </c>
      <c r="C38" s="40">
        <v>1</v>
      </c>
      <c r="D38" s="40">
        <v>1</v>
      </c>
      <c r="E38" s="40">
        <v>1</v>
      </c>
      <c r="F38" s="40">
        <v>1</v>
      </c>
      <c r="G38" s="40">
        <v>1</v>
      </c>
      <c r="H38" s="40">
        <v>1</v>
      </c>
      <c r="I38" s="40">
        <v>1</v>
      </c>
      <c r="J38" s="40">
        <v>1</v>
      </c>
      <c r="K38" s="40">
        <v>1</v>
      </c>
      <c r="L38" s="40">
        <v>1</v>
      </c>
      <c r="M38" s="40">
        <v>1</v>
      </c>
      <c r="N38" s="40">
        <v>1</v>
      </c>
      <c r="O38" s="40">
        <v>1</v>
      </c>
    </row>
    <row r="39" spans="1:15" ht="15.75" customHeight="1" x14ac:dyDescent="0.25">
      <c r="B39" s="38"/>
    </row>
  </sheetData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E2" sqref="E2:E10"/>
    </sheetView>
  </sheetViews>
  <sheetFormatPr defaultColWidth="11.36328125" defaultRowHeight="12.5" x14ac:dyDescent="0.25"/>
  <cols>
    <col min="1" max="1" width="33.54296875" style="42" customWidth="1"/>
    <col min="2" max="2" width="12.36328125" style="42" customWidth="1"/>
    <col min="3" max="4" width="11.36328125" style="42"/>
    <col min="5" max="5" width="17.36328125" style="42" customWidth="1"/>
    <col min="6" max="16384" width="11.36328125" style="42"/>
  </cols>
  <sheetData>
    <row r="1" spans="1:5" ht="13" x14ac:dyDescent="0.3">
      <c r="A1" s="47" t="s">
        <v>164</v>
      </c>
      <c r="B1" s="47" t="s">
        <v>163</v>
      </c>
      <c r="C1" s="47" t="s">
        <v>162</v>
      </c>
      <c r="D1" s="47" t="s">
        <v>161</v>
      </c>
      <c r="E1" s="47" t="s">
        <v>160</v>
      </c>
    </row>
    <row r="2" spans="1:5" ht="14" x14ac:dyDescent="0.3">
      <c r="A2" s="46" t="s">
        <v>159</v>
      </c>
      <c r="B2" s="45">
        <v>0.9</v>
      </c>
      <c r="C2" s="44">
        <v>0.09</v>
      </c>
      <c r="D2" s="42">
        <v>0.8</v>
      </c>
      <c r="E2" s="42">
        <f t="shared" ref="E2:E10" si="0">C2*D2</f>
        <v>7.1999999999999995E-2</v>
      </c>
    </row>
    <row r="3" spans="1:5" ht="14" x14ac:dyDescent="0.3">
      <c r="A3" s="46" t="s">
        <v>158</v>
      </c>
      <c r="B3" s="45">
        <v>1</v>
      </c>
      <c r="C3" s="44">
        <v>0.02</v>
      </c>
      <c r="D3" s="42">
        <v>1.9</v>
      </c>
      <c r="E3" s="42">
        <f t="shared" si="0"/>
        <v>3.7999999999999999E-2</v>
      </c>
    </row>
    <row r="4" spans="1:5" ht="14" x14ac:dyDescent="0.3">
      <c r="A4" s="46" t="s">
        <v>157</v>
      </c>
      <c r="B4" s="45">
        <v>1</v>
      </c>
      <c r="C4" s="44">
        <v>0.08</v>
      </c>
      <c r="D4" s="42">
        <v>2</v>
      </c>
      <c r="E4" s="42">
        <f t="shared" si="0"/>
        <v>0.16</v>
      </c>
    </row>
    <row r="5" spans="1:5" ht="14" x14ac:dyDescent="0.3">
      <c r="A5" s="46" t="s">
        <v>156</v>
      </c>
      <c r="B5" s="45">
        <v>1</v>
      </c>
      <c r="C5" s="44">
        <v>0.18</v>
      </c>
      <c r="D5" s="42">
        <v>0.7</v>
      </c>
      <c r="E5" s="42">
        <f t="shared" si="0"/>
        <v>0.126</v>
      </c>
    </row>
    <row r="6" spans="1:5" ht="14" x14ac:dyDescent="0.3">
      <c r="A6" s="46" t="s">
        <v>155</v>
      </c>
      <c r="B6" s="45">
        <v>1</v>
      </c>
      <c r="C6" s="44">
        <v>0.02</v>
      </c>
      <c r="D6" s="42">
        <v>0.7</v>
      </c>
      <c r="E6" s="42">
        <f t="shared" si="0"/>
        <v>1.3999999999999999E-2</v>
      </c>
    </row>
    <row r="7" spans="1:5" ht="14" x14ac:dyDescent="0.3">
      <c r="A7" s="46" t="s">
        <v>154</v>
      </c>
      <c r="B7" s="45">
        <v>0.93</v>
      </c>
      <c r="C7" s="44">
        <v>0.45</v>
      </c>
      <c r="D7" s="42">
        <v>0.9</v>
      </c>
      <c r="E7" s="42">
        <f t="shared" si="0"/>
        <v>0.40500000000000003</v>
      </c>
    </row>
    <row r="8" spans="1:5" ht="14" x14ac:dyDescent="0.3">
      <c r="A8" s="46" t="s">
        <v>153</v>
      </c>
      <c r="B8" s="45">
        <v>0.5</v>
      </c>
      <c r="C8" s="44">
        <v>0.03</v>
      </c>
      <c r="D8" s="42">
        <v>0</v>
      </c>
      <c r="E8" s="42">
        <f t="shared" si="0"/>
        <v>0</v>
      </c>
    </row>
    <row r="9" spans="1:5" ht="14" x14ac:dyDescent="0.3">
      <c r="A9" s="46" t="s">
        <v>152</v>
      </c>
      <c r="B9" s="45">
        <v>0.5</v>
      </c>
      <c r="C9" s="44">
        <v>0.11</v>
      </c>
      <c r="D9" s="42">
        <v>0</v>
      </c>
      <c r="E9" s="42">
        <f t="shared" si="0"/>
        <v>0</v>
      </c>
    </row>
    <row r="10" spans="1:5" ht="14" x14ac:dyDescent="0.3">
      <c r="A10" s="46" t="s">
        <v>151</v>
      </c>
      <c r="B10" s="45">
        <v>0.98</v>
      </c>
      <c r="C10" s="44">
        <v>0.01</v>
      </c>
      <c r="D10" s="42">
        <v>0.6</v>
      </c>
      <c r="E10" s="42">
        <f t="shared" si="0"/>
        <v>6.0000000000000001E-3</v>
      </c>
    </row>
    <row r="11" spans="1:5" x14ac:dyDescent="0.25">
      <c r="C11" s="43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J40"/>
  <sheetViews>
    <sheetView zoomScaleNormal="100" workbookViewId="0">
      <selection sqref="A1:G17"/>
    </sheetView>
  </sheetViews>
  <sheetFormatPr defaultColWidth="14.36328125" defaultRowHeight="15.75" customHeight="1" x14ac:dyDescent="0.25"/>
  <cols>
    <col min="1" max="1" width="8.36328125" style="15" customWidth="1"/>
    <col min="2" max="10" width="16.81640625" style="15" customWidth="1"/>
    <col min="11" max="16384" width="14.36328125" style="15"/>
  </cols>
  <sheetData>
    <row r="1" spans="1:10" s="23" customFormat="1" ht="30" customHeight="1" x14ac:dyDescent="0.3">
      <c r="A1" s="35" t="s">
        <v>0</v>
      </c>
      <c r="B1" s="29" t="s">
        <v>112</v>
      </c>
      <c r="C1" s="26" t="s">
        <v>113</v>
      </c>
      <c r="D1" s="26" t="s">
        <v>49</v>
      </c>
      <c r="E1" s="26" t="s">
        <v>50</v>
      </c>
      <c r="F1" s="26" t="s">
        <v>51</v>
      </c>
      <c r="G1" s="26" t="s">
        <v>52</v>
      </c>
      <c r="H1" s="26" t="s">
        <v>114</v>
      </c>
      <c r="I1" s="26" t="s">
        <v>131</v>
      </c>
      <c r="J1" s="26" t="s">
        <v>36</v>
      </c>
    </row>
    <row r="2" spans="1:10" ht="15.75" customHeight="1" x14ac:dyDescent="0.25">
      <c r="A2" s="9">
        <v>2015</v>
      </c>
      <c r="B2" s="80">
        <v>137323.80000000002</v>
      </c>
      <c r="C2" s="81">
        <v>607000</v>
      </c>
      <c r="D2" s="81">
        <v>173000</v>
      </c>
      <c r="E2" s="81">
        <v>254000</v>
      </c>
      <c r="F2" s="81">
        <v>182000</v>
      </c>
      <c r="G2" s="81">
        <v>114000</v>
      </c>
      <c r="H2" s="25">
        <f t="shared" ref="H2:H40" si="0">D2+E2+F2+G2</f>
        <v>723000</v>
      </c>
      <c r="I2" s="25">
        <f>(B2 + stillbirth*B2/(1000-stillbirth))/(1-abortion)</f>
        <v>162268.51055880057</v>
      </c>
      <c r="J2" s="25">
        <f>H2-I2</f>
        <v>560731.48944119946</v>
      </c>
    </row>
    <row r="3" spans="1:10" ht="15.75" customHeight="1" x14ac:dyDescent="0.25">
      <c r="A3" s="9">
        <v>2016</v>
      </c>
      <c r="B3" s="80">
        <v>140959.18798081443</v>
      </c>
      <c r="C3" s="81">
        <v>622239.81011051056</v>
      </c>
      <c r="D3" s="81">
        <v>179680.80188407746</v>
      </c>
      <c r="E3" s="81">
        <v>262306.40231739695</v>
      </c>
      <c r="F3" s="81">
        <v>188182.67017022404</v>
      </c>
      <c r="G3" s="81">
        <v>117563.97932420409</v>
      </c>
      <c r="H3" s="25">
        <f t="shared" si="0"/>
        <v>747733.85369590251</v>
      </c>
      <c r="I3" s="25">
        <f t="shared" ref="I3:I40" si="1">(B3 + stillbirth*B3/(1000-stillbirth))/(1-abortion)</f>
        <v>166564.26259122408</v>
      </c>
      <c r="J3" s="25">
        <f t="shared" ref="J3:J15" si="2">H3-I3</f>
        <v>581169.59110467846</v>
      </c>
    </row>
    <row r="4" spans="1:10" ht="15.75" customHeight="1" x14ac:dyDescent="0.25">
      <c r="A4" s="9">
        <v>2017</v>
      </c>
      <c r="B4" s="80">
        <v>144690.81598536143</v>
      </c>
      <c r="C4" s="81">
        <v>637862.24264639907</v>
      </c>
      <c r="D4" s="81">
        <v>186619.59864569418</v>
      </c>
      <c r="E4" s="81">
        <v>270884.44368777995</v>
      </c>
      <c r="F4" s="81">
        <v>194575.37006810619</v>
      </c>
      <c r="G4" s="81">
        <v>121239.37925036743</v>
      </c>
      <c r="H4" s="25">
        <f t="shared" si="0"/>
        <v>773318.79165194777</v>
      </c>
      <c r="I4" s="25">
        <f t="shared" si="1"/>
        <v>170973.7365371632</v>
      </c>
      <c r="J4" s="25">
        <f t="shared" si="2"/>
        <v>602345.05511478451</v>
      </c>
    </row>
    <row r="5" spans="1:10" ht="15.75" customHeight="1" x14ac:dyDescent="0.25">
      <c r="A5" s="9">
        <v>2018</v>
      </c>
      <c r="B5" s="80">
        <v>148521.23178631809</v>
      </c>
      <c r="C5" s="81">
        <v>653876.90402135055</v>
      </c>
      <c r="D5" s="81">
        <v>193826.35336383252</v>
      </c>
      <c r="E5" s="81">
        <v>279743.00735232705</v>
      </c>
      <c r="F5" s="81">
        <v>201185.23455371268</v>
      </c>
      <c r="G5" s="81">
        <v>125029.68311815381</v>
      </c>
      <c r="H5" s="25">
        <f t="shared" si="0"/>
        <v>799784.27838802605</v>
      </c>
      <c r="I5" s="25">
        <f t="shared" si="1"/>
        <v>175499.94296927573</v>
      </c>
      <c r="J5" s="25">
        <f t="shared" si="2"/>
        <v>624284.3354187503</v>
      </c>
    </row>
    <row r="6" spans="1:10" ht="15.75" customHeight="1" x14ac:dyDescent="0.25">
      <c r="A6" s="9">
        <v>2019</v>
      </c>
      <c r="B6" s="80">
        <v>152242.60680720396</v>
      </c>
      <c r="C6" s="81">
        <v>670077.2764623058</v>
      </c>
      <c r="D6" s="81">
        <v>201359.11323261436</v>
      </c>
      <c r="E6" s="81">
        <v>289044.27965754014</v>
      </c>
      <c r="F6" s="81">
        <v>208066.94083177985</v>
      </c>
      <c r="G6" s="81">
        <v>129141.08481168319</v>
      </c>
      <c r="H6" s="25">
        <f t="shared" si="0"/>
        <v>827611.41853361751</v>
      </c>
      <c r="I6" s="25">
        <f t="shared" si="1"/>
        <v>179897.30148884677</v>
      </c>
      <c r="J6" s="25">
        <f t="shared" si="2"/>
        <v>647714.11704477074</v>
      </c>
    </row>
    <row r="7" spans="1:10" ht="15.75" customHeight="1" x14ac:dyDescent="0.25">
      <c r="A7" s="9">
        <v>2020</v>
      </c>
      <c r="B7" s="80">
        <v>155897.427853959</v>
      </c>
      <c r="C7" s="81">
        <v>686554.69113845099</v>
      </c>
      <c r="D7" s="81">
        <v>209195.09727707022</v>
      </c>
      <c r="E7" s="81">
        <v>298874.88399849227</v>
      </c>
      <c r="F7" s="81">
        <v>215179.57596305961</v>
      </c>
      <c r="G7" s="81">
        <v>133905.3086482262</v>
      </c>
      <c r="H7" s="25">
        <f t="shared" si="0"/>
        <v>857154.8658868483</v>
      </c>
      <c r="I7" s="25">
        <f t="shared" si="1"/>
        <v>184216.0165813209</v>
      </c>
      <c r="J7" s="25">
        <f t="shared" si="2"/>
        <v>672938.8493055274</v>
      </c>
    </row>
    <row r="8" spans="1:10" ht="15.75" customHeight="1" x14ac:dyDescent="0.25">
      <c r="A8" s="9">
        <v>2021</v>
      </c>
      <c r="B8" s="80">
        <v>159841.53278696557</v>
      </c>
      <c r="C8" s="81">
        <v>703072.95876485691</v>
      </c>
      <c r="D8" s="81">
        <v>217289.95196833034</v>
      </c>
      <c r="E8" s="81">
        <v>309291.4325152706</v>
      </c>
      <c r="F8" s="81">
        <v>222506.3427171064</v>
      </c>
      <c r="G8" s="81">
        <v>138464.59877743706</v>
      </c>
      <c r="H8" s="25">
        <f t="shared" si="0"/>
        <v>887552.32597814454</v>
      </c>
      <c r="I8" s="25">
        <f t="shared" si="1"/>
        <v>188876.5636457525</v>
      </c>
      <c r="J8" s="25">
        <f t="shared" si="2"/>
        <v>698675.76233239204</v>
      </c>
    </row>
    <row r="9" spans="1:10" ht="15.75" customHeight="1" x14ac:dyDescent="0.25">
      <c r="A9" s="9">
        <v>2022</v>
      </c>
      <c r="B9" s="80">
        <v>163737.45994104841</v>
      </c>
      <c r="C9" s="81">
        <v>720825.4819962068</v>
      </c>
      <c r="D9" s="81">
        <v>225620.62779340986</v>
      </c>
      <c r="E9" s="81">
        <v>320294.6925410991</v>
      </c>
      <c r="F9" s="81">
        <v>230041.86245320007</v>
      </c>
      <c r="G9" s="81">
        <v>143228.53977960482</v>
      </c>
      <c r="H9" s="25">
        <f t="shared" si="0"/>
        <v>919185.72256731382</v>
      </c>
      <c r="I9" s="25">
        <f t="shared" si="1"/>
        <v>193480.18149304925</v>
      </c>
      <c r="J9" s="25">
        <f t="shared" si="2"/>
        <v>725705.54107426456</v>
      </c>
    </row>
    <row r="10" spans="1:10" ht="15.75" customHeight="1" x14ac:dyDescent="0.25">
      <c r="A10" s="9">
        <v>2023</v>
      </c>
      <c r="B10" s="80">
        <v>167712.93038927851</v>
      </c>
      <c r="C10" s="81">
        <v>738583.10095802636</v>
      </c>
      <c r="D10" s="81">
        <v>234124.73442007418</v>
      </c>
      <c r="E10" s="81">
        <v>331938.93158676912</v>
      </c>
      <c r="F10" s="81">
        <v>237760.56458431066</v>
      </c>
      <c r="G10" s="81">
        <v>148205.25304179051</v>
      </c>
      <c r="H10" s="25">
        <f t="shared" si="0"/>
        <v>952029.48363294452</v>
      </c>
      <c r="I10" s="25">
        <f t="shared" si="1"/>
        <v>198177.79158252262</v>
      </c>
      <c r="J10" s="25">
        <f t="shared" si="2"/>
        <v>753851.69205042184</v>
      </c>
    </row>
    <row r="11" spans="1:10" ht="15.75" customHeight="1" x14ac:dyDescent="0.25">
      <c r="A11" s="9">
        <v>2024</v>
      </c>
      <c r="B11" s="80">
        <v>172017.99940260703</v>
      </c>
      <c r="C11" s="81">
        <v>756878.60258052766</v>
      </c>
      <c r="D11" s="81">
        <v>242737.91223730939</v>
      </c>
      <c r="E11" s="81">
        <v>344282.89327354578</v>
      </c>
      <c r="F11" s="81">
        <v>245662.27276156202</v>
      </c>
      <c r="G11" s="81">
        <v>153394.65775417263</v>
      </c>
      <c r="H11" s="25">
        <f t="shared" si="0"/>
        <v>986077.73602658976</v>
      </c>
      <c r="I11" s="25">
        <f t="shared" si="1"/>
        <v>203264.87143791307</v>
      </c>
      <c r="J11" s="25">
        <f t="shared" si="2"/>
        <v>782812.86458867672</v>
      </c>
    </row>
    <row r="12" spans="1:10" ht="15.75" customHeight="1" x14ac:dyDescent="0.25">
      <c r="A12" s="9">
        <v>2025</v>
      </c>
      <c r="B12" s="80">
        <v>176486.28204570684</v>
      </c>
      <c r="C12" s="81">
        <v>775917.4711060666</v>
      </c>
      <c r="D12" s="81">
        <v>251421.04420754508</v>
      </c>
      <c r="E12" s="81">
        <v>357359.14663382852</v>
      </c>
      <c r="F12" s="81">
        <v>253795.61518753029</v>
      </c>
      <c r="G12" s="81">
        <v>158774.61202565933</v>
      </c>
      <c r="H12" s="25">
        <f t="shared" si="0"/>
        <v>1021350.4180545632</v>
      </c>
      <c r="I12" s="25">
        <f t="shared" si="1"/>
        <v>208544.81249147808</v>
      </c>
      <c r="J12" s="25">
        <f t="shared" si="2"/>
        <v>812805.60556308518</v>
      </c>
    </row>
    <row r="13" spans="1:10" ht="15.75" customHeight="1" x14ac:dyDescent="0.25">
      <c r="A13" s="9">
        <v>2026</v>
      </c>
      <c r="B13" s="80">
        <v>180835.31491139857</v>
      </c>
      <c r="C13" s="81">
        <v>795250.84672079829</v>
      </c>
      <c r="D13" s="81">
        <v>260102.69921869636</v>
      </c>
      <c r="E13" s="81">
        <v>371093.34560412954</v>
      </c>
      <c r="F13" s="81">
        <v>262173.2448940734</v>
      </c>
      <c r="G13" s="81">
        <v>164327.94376918115</v>
      </c>
      <c r="H13" s="25">
        <f t="shared" si="0"/>
        <v>1057697.2334860805</v>
      </c>
      <c r="I13" s="25">
        <f t="shared" si="1"/>
        <v>213683.84218252264</v>
      </c>
      <c r="J13" s="25">
        <f t="shared" si="2"/>
        <v>844013.3913035579</v>
      </c>
    </row>
    <row r="14" spans="1:10" ht="15.75" customHeight="1" x14ac:dyDescent="0.25">
      <c r="A14" s="9">
        <v>2027</v>
      </c>
      <c r="B14" s="80">
        <v>185717.56153589062</v>
      </c>
      <c r="C14" s="81">
        <v>815495.26925829437</v>
      </c>
      <c r="D14" s="81">
        <v>268755.79968754796</v>
      </c>
      <c r="E14" s="81">
        <v>385420.52263814403</v>
      </c>
      <c r="F14" s="81">
        <v>270856.22267953033</v>
      </c>
      <c r="G14" s="81">
        <v>170082.4515633352</v>
      </c>
      <c r="H14" s="25">
        <f t="shared" si="0"/>
        <v>1095114.9965685576</v>
      </c>
      <c r="I14" s="25">
        <f t="shared" si="1"/>
        <v>219452.94329927777</v>
      </c>
      <c r="J14" s="25">
        <f t="shared" si="2"/>
        <v>875662.05326927977</v>
      </c>
    </row>
    <row r="15" spans="1:10" ht="15.75" customHeight="1" x14ac:dyDescent="0.25">
      <c r="A15" s="9">
        <v>2028</v>
      </c>
      <c r="B15" s="80">
        <v>190259.60961507019</v>
      </c>
      <c r="C15" s="81">
        <v>836258.58523865382</v>
      </c>
      <c r="D15" s="81">
        <v>277357.29610111512</v>
      </c>
      <c r="E15" s="81">
        <v>400240.88178711903</v>
      </c>
      <c r="F15" s="81">
        <v>279913.54504166311</v>
      </c>
      <c r="G15" s="81">
        <v>176053.89332331458</v>
      </c>
      <c r="H15" s="25">
        <f t="shared" si="0"/>
        <v>1133565.6162532119</v>
      </c>
      <c r="I15" s="25">
        <f t="shared" si="1"/>
        <v>224820.04919566956</v>
      </c>
      <c r="J15" s="25">
        <f t="shared" si="2"/>
        <v>908745.56705754227</v>
      </c>
    </row>
    <row r="16" spans="1:10" ht="15.75" customHeight="1" x14ac:dyDescent="0.25">
      <c r="A16" s="9">
        <v>2029</v>
      </c>
      <c r="B16" s="8">
        <v>195036.94250096823</v>
      </c>
      <c r="C16" s="24">
        <v>857482.52041086496</v>
      </c>
      <c r="D16" s="24">
        <v>285879.70806915965</v>
      </c>
      <c r="E16" s="24">
        <v>415472.65943306737</v>
      </c>
      <c r="F16" s="24">
        <v>289419.58711895399</v>
      </c>
      <c r="G16" s="24">
        <v>182252.45108662877</v>
      </c>
      <c r="H16" s="25">
        <f t="shared" si="0"/>
        <v>1173024.4057078096</v>
      </c>
      <c r="I16" s="25">
        <f t="shared" si="1"/>
        <v>230465.17911370454</v>
      </c>
      <c r="J16" s="25">
        <f t="shared" ref="J16:J40" si="3">H16-I16</f>
        <v>942559.22659410513</v>
      </c>
    </row>
    <row r="17" spans="1:10" ht="15.75" customHeight="1" x14ac:dyDescent="0.25">
      <c r="A17" s="9">
        <v>2030</v>
      </c>
      <c r="B17" s="8">
        <v>201809.50444945233</v>
      </c>
      <c r="C17" s="24">
        <v>880914.95387925825</v>
      </c>
      <c r="D17" s="24">
        <v>294207.74327042152</v>
      </c>
      <c r="E17" s="24">
        <v>431061.28965783276</v>
      </c>
      <c r="F17" s="24">
        <v>299465.7858036448</v>
      </c>
      <c r="G17" s="24">
        <v>188660.87195638678</v>
      </c>
      <c r="H17" s="25">
        <f t="shared" si="0"/>
        <v>1213395.6906882857</v>
      </c>
      <c r="I17" s="25">
        <f t="shared" si="1"/>
        <v>238467.96916209909</v>
      </c>
      <c r="J17" s="25">
        <f t="shared" si="3"/>
        <v>974927.72152618668</v>
      </c>
    </row>
    <row r="18" spans="1:10" ht="15.75" customHeight="1" x14ac:dyDescent="0.25">
      <c r="A18" s="9" t="str">
        <f t="shared" ref="A3:A40" si="4">IF($A$2+ROW(A18)-2&lt;=end_year,A17+1,"")</f>
        <v/>
      </c>
      <c r="B18" s="8"/>
      <c r="C18" s="24"/>
      <c r="D18" s="24"/>
      <c r="E18" s="24"/>
      <c r="F18" s="24"/>
      <c r="G18" s="24"/>
      <c r="H18" s="25">
        <f t="shared" si="0"/>
        <v>0</v>
      </c>
      <c r="I18" s="25">
        <f t="shared" si="1"/>
        <v>0</v>
      </c>
      <c r="J18" s="25">
        <f t="shared" si="3"/>
        <v>0</v>
      </c>
    </row>
    <row r="19" spans="1:10" ht="15.75" customHeight="1" x14ac:dyDescent="0.25">
      <c r="A19" s="9" t="str">
        <f t="shared" si="4"/>
        <v/>
      </c>
      <c r="B19" s="8"/>
      <c r="C19" s="24"/>
      <c r="D19" s="24"/>
      <c r="E19" s="24"/>
      <c r="F19" s="24"/>
      <c r="G19" s="24"/>
      <c r="H19" s="25">
        <f t="shared" si="0"/>
        <v>0</v>
      </c>
      <c r="I19" s="25">
        <f t="shared" si="1"/>
        <v>0</v>
      </c>
      <c r="J19" s="25">
        <f t="shared" si="3"/>
        <v>0</v>
      </c>
    </row>
    <row r="20" spans="1:10" ht="15.75" customHeight="1" x14ac:dyDescent="0.25">
      <c r="A20" s="9" t="str">
        <f t="shared" si="4"/>
        <v/>
      </c>
      <c r="B20" s="8"/>
      <c r="C20" s="24"/>
      <c r="D20" s="24"/>
      <c r="E20" s="24"/>
      <c r="F20" s="24"/>
      <c r="G20" s="24"/>
      <c r="H20" s="25">
        <f t="shared" si="0"/>
        <v>0</v>
      </c>
      <c r="I20" s="25">
        <f t="shared" si="1"/>
        <v>0</v>
      </c>
      <c r="J20" s="25">
        <f t="shared" si="3"/>
        <v>0</v>
      </c>
    </row>
    <row r="21" spans="1:10" ht="15.75" customHeight="1" x14ac:dyDescent="0.25">
      <c r="A21" s="9" t="str">
        <f t="shared" si="4"/>
        <v/>
      </c>
      <c r="B21" s="8"/>
      <c r="C21" s="24"/>
      <c r="D21" s="24"/>
      <c r="E21" s="24"/>
      <c r="F21" s="24"/>
      <c r="G21" s="24"/>
      <c r="H21" s="25">
        <f t="shared" si="0"/>
        <v>0</v>
      </c>
      <c r="I21" s="25">
        <f t="shared" si="1"/>
        <v>0</v>
      </c>
      <c r="J21" s="25">
        <f t="shared" si="3"/>
        <v>0</v>
      </c>
    </row>
    <row r="22" spans="1:10" ht="15.75" customHeight="1" x14ac:dyDescent="0.25">
      <c r="A22" s="9" t="str">
        <f t="shared" si="4"/>
        <v/>
      </c>
      <c r="B22" s="8"/>
      <c r="C22" s="24"/>
      <c r="D22" s="24"/>
      <c r="E22" s="24"/>
      <c r="F22" s="24"/>
      <c r="G22" s="24"/>
      <c r="H22" s="25">
        <f t="shared" si="0"/>
        <v>0</v>
      </c>
      <c r="I22" s="25">
        <f t="shared" si="1"/>
        <v>0</v>
      </c>
      <c r="J22" s="25">
        <f t="shared" si="3"/>
        <v>0</v>
      </c>
    </row>
    <row r="23" spans="1:10" ht="15.75" customHeight="1" x14ac:dyDescent="0.25">
      <c r="A23" s="9" t="str">
        <f t="shared" si="4"/>
        <v/>
      </c>
      <c r="B23" s="8"/>
      <c r="C23" s="24"/>
      <c r="D23" s="24"/>
      <c r="E23" s="24"/>
      <c r="F23" s="24"/>
      <c r="G23" s="24"/>
      <c r="H23" s="25">
        <f t="shared" si="0"/>
        <v>0</v>
      </c>
      <c r="I23" s="25">
        <f t="shared" si="1"/>
        <v>0</v>
      </c>
      <c r="J23" s="25">
        <f t="shared" si="3"/>
        <v>0</v>
      </c>
    </row>
    <row r="24" spans="1:10" ht="15.75" customHeight="1" x14ac:dyDescent="0.25">
      <c r="A24" s="9" t="str">
        <f t="shared" si="4"/>
        <v/>
      </c>
      <c r="B24" s="8"/>
      <c r="C24" s="24"/>
      <c r="D24" s="24"/>
      <c r="E24" s="24"/>
      <c r="F24" s="24"/>
      <c r="G24" s="24"/>
      <c r="H24" s="25">
        <f t="shared" si="0"/>
        <v>0</v>
      </c>
      <c r="I24" s="25">
        <f t="shared" si="1"/>
        <v>0</v>
      </c>
      <c r="J24" s="25">
        <f t="shared" si="3"/>
        <v>0</v>
      </c>
    </row>
    <row r="25" spans="1:10" ht="15.75" customHeight="1" x14ac:dyDescent="0.25">
      <c r="A25" s="9" t="str">
        <f t="shared" si="4"/>
        <v/>
      </c>
      <c r="B25" s="8"/>
      <c r="C25" s="24"/>
      <c r="D25" s="24"/>
      <c r="E25" s="24"/>
      <c r="F25" s="24"/>
      <c r="G25" s="24"/>
      <c r="H25" s="25">
        <f t="shared" si="0"/>
        <v>0</v>
      </c>
      <c r="I25" s="25">
        <f t="shared" si="1"/>
        <v>0</v>
      </c>
      <c r="J25" s="25">
        <f t="shared" si="3"/>
        <v>0</v>
      </c>
    </row>
    <row r="26" spans="1:10" ht="15.75" customHeight="1" x14ac:dyDescent="0.25">
      <c r="A26" s="9" t="str">
        <f t="shared" si="4"/>
        <v/>
      </c>
      <c r="B26" s="8"/>
      <c r="C26" s="24"/>
      <c r="D26" s="24"/>
      <c r="E26" s="24"/>
      <c r="F26" s="24"/>
      <c r="G26" s="24"/>
      <c r="H26" s="25">
        <f t="shared" si="0"/>
        <v>0</v>
      </c>
      <c r="I26" s="25">
        <f t="shared" si="1"/>
        <v>0</v>
      </c>
      <c r="J26" s="25">
        <f t="shared" si="3"/>
        <v>0</v>
      </c>
    </row>
    <row r="27" spans="1:10" ht="15.75" customHeight="1" x14ac:dyDescent="0.25">
      <c r="A27" s="9" t="str">
        <f t="shared" si="4"/>
        <v/>
      </c>
      <c r="B27" s="8"/>
      <c r="C27" s="24"/>
      <c r="D27" s="24"/>
      <c r="E27" s="24"/>
      <c r="F27" s="24"/>
      <c r="G27" s="24"/>
      <c r="H27" s="25">
        <f t="shared" si="0"/>
        <v>0</v>
      </c>
      <c r="I27" s="25">
        <f t="shared" si="1"/>
        <v>0</v>
      </c>
      <c r="J27" s="25">
        <f t="shared" si="3"/>
        <v>0</v>
      </c>
    </row>
    <row r="28" spans="1:10" ht="15.75" customHeight="1" x14ac:dyDescent="0.25">
      <c r="A28" s="9" t="str">
        <f t="shared" si="4"/>
        <v/>
      </c>
      <c r="B28" s="8"/>
      <c r="C28" s="24"/>
      <c r="D28" s="24"/>
      <c r="E28" s="24"/>
      <c r="F28" s="24"/>
      <c r="G28" s="24"/>
      <c r="H28" s="25">
        <f t="shared" si="0"/>
        <v>0</v>
      </c>
      <c r="I28" s="25">
        <f t="shared" si="1"/>
        <v>0</v>
      </c>
      <c r="J28" s="25">
        <f t="shared" si="3"/>
        <v>0</v>
      </c>
    </row>
    <row r="29" spans="1:10" ht="15.75" customHeight="1" x14ac:dyDescent="0.25">
      <c r="A29" s="9" t="str">
        <f t="shared" si="4"/>
        <v/>
      </c>
      <c r="B29" s="8"/>
      <c r="C29" s="24"/>
      <c r="D29" s="24"/>
      <c r="E29" s="24"/>
      <c r="F29" s="24"/>
      <c r="G29" s="24"/>
      <c r="H29" s="25">
        <f t="shared" si="0"/>
        <v>0</v>
      </c>
      <c r="I29" s="25">
        <f t="shared" si="1"/>
        <v>0</v>
      </c>
      <c r="J29" s="25">
        <f t="shared" si="3"/>
        <v>0</v>
      </c>
    </row>
    <row r="30" spans="1:10" ht="15.75" customHeight="1" x14ac:dyDescent="0.25">
      <c r="A30" s="9" t="str">
        <f t="shared" si="4"/>
        <v/>
      </c>
      <c r="B30" s="8"/>
      <c r="C30" s="24"/>
      <c r="D30" s="24"/>
      <c r="E30" s="24"/>
      <c r="F30" s="24"/>
      <c r="G30" s="24"/>
      <c r="H30" s="25">
        <f t="shared" si="0"/>
        <v>0</v>
      </c>
      <c r="I30" s="25">
        <f t="shared" si="1"/>
        <v>0</v>
      </c>
      <c r="J30" s="25">
        <f t="shared" si="3"/>
        <v>0</v>
      </c>
    </row>
    <row r="31" spans="1:10" ht="15.75" customHeight="1" x14ac:dyDescent="0.25">
      <c r="A31" s="9" t="str">
        <f t="shared" si="4"/>
        <v/>
      </c>
      <c r="B31" s="8"/>
      <c r="C31" s="24"/>
      <c r="D31" s="24"/>
      <c r="E31" s="24"/>
      <c r="F31" s="24"/>
      <c r="G31" s="24"/>
      <c r="H31" s="25">
        <f t="shared" si="0"/>
        <v>0</v>
      </c>
      <c r="I31" s="25">
        <f t="shared" si="1"/>
        <v>0</v>
      </c>
      <c r="J31" s="25">
        <f t="shared" si="3"/>
        <v>0</v>
      </c>
    </row>
    <row r="32" spans="1:10" ht="15.75" customHeight="1" x14ac:dyDescent="0.25">
      <c r="A32" s="9" t="str">
        <f t="shared" si="4"/>
        <v/>
      </c>
      <c r="B32" s="8"/>
      <c r="C32" s="24"/>
      <c r="D32" s="24"/>
      <c r="E32" s="24"/>
      <c r="F32" s="24"/>
      <c r="G32" s="24"/>
      <c r="H32" s="25">
        <f t="shared" si="0"/>
        <v>0</v>
      </c>
      <c r="I32" s="25">
        <f t="shared" si="1"/>
        <v>0</v>
      </c>
      <c r="J32" s="25">
        <f t="shared" si="3"/>
        <v>0</v>
      </c>
    </row>
    <row r="33" spans="1:10" ht="15.75" customHeight="1" x14ac:dyDescent="0.25">
      <c r="A33" s="9" t="str">
        <f t="shared" si="4"/>
        <v/>
      </c>
      <c r="B33" s="8"/>
      <c r="C33" s="24"/>
      <c r="D33" s="24"/>
      <c r="E33" s="24"/>
      <c r="F33" s="24"/>
      <c r="G33" s="24"/>
      <c r="H33" s="25">
        <f t="shared" si="0"/>
        <v>0</v>
      </c>
      <c r="I33" s="25">
        <f t="shared" si="1"/>
        <v>0</v>
      </c>
      <c r="J33" s="25">
        <f t="shared" si="3"/>
        <v>0</v>
      </c>
    </row>
    <row r="34" spans="1:10" ht="15.75" customHeight="1" x14ac:dyDescent="0.25">
      <c r="A34" s="9" t="str">
        <f t="shared" si="4"/>
        <v/>
      </c>
      <c r="B34" s="8"/>
      <c r="C34" s="24"/>
      <c r="D34" s="24"/>
      <c r="E34" s="24"/>
      <c r="F34" s="24"/>
      <c r="G34" s="24"/>
      <c r="H34" s="25">
        <f t="shared" si="0"/>
        <v>0</v>
      </c>
      <c r="I34" s="25">
        <f t="shared" si="1"/>
        <v>0</v>
      </c>
      <c r="J34" s="25">
        <f t="shared" si="3"/>
        <v>0</v>
      </c>
    </row>
    <row r="35" spans="1:10" ht="15.75" customHeight="1" x14ac:dyDescent="0.25">
      <c r="A35" s="9" t="str">
        <f t="shared" si="4"/>
        <v/>
      </c>
      <c r="B35" s="8"/>
      <c r="C35" s="24"/>
      <c r="D35" s="24"/>
      <c r="E35" s="24"/>
      <c r="F35" s="24"/>
      <c r="G35" s="24"/>
      <c r="H35" s="25">
        <f t="shared" si="0"/>
        <v>0</v>
      </c>
      <c r="I35" s="25">
        <f t="shared" si="1"/>
        <v>0</v>
      </c>
      <c r="J35" s="25">
        <f t="shared" si="3"/>
        <v>0</v>
      </c>
    </row>
    <row r="36" spans="1:10" ht="15.75" customHeight="1" x14ac:dyDescent="0.25">
      <c r="A36" s="9" t="str">
        <f t="shared" si="4"/>
        <v/>
      </c>
      <c r="B36" s="8"/>
      <c r="C36" s="24"/>
      <c r="D36" s="24"/>
      <c r="E36" s="24"/>
      <c r="F36" s="24"/>
      <c r="G36" s="24"/>
      <c r="H36" s="25">
        <f t="shared" si="0"/>
        <v>0</v>
      </c>
      <c r="I36" s="25">
        <f t="shared" si="1"/>
        <v>0</v>
      </c>
      <c r="J36" s="25">
        <f t="shared" si="3"/>
        <v>0</v>
      </c>
    </row>
    <row r="37" spans="1:10" ht="15.75" customHeight="1" x14ac:dyDescent="0.25">
      <c r="A37" s="9" t="str">
        <f t="shared" si="4"/>
        <v/>
      </c>
      <c r="B37" s="8"/>
      <c r="C37" s="24"/>
      <c r="D37" s="24"/>
      <c r="E37" s="24"/>
      <c r="F37" s="24"/>
      <c r="G37" s="24"/>
      <c r="H37" s="25">
        <f t="shared" si="0"/>
        <v>0</v>
      </c>
      <c r="I37" s="25">
        <f t="shared" si="1"/>
        <v>0</v>
      </c>
      <c r="J37" s="25">
        <f t="shared" si="3"/>
        <v>0</v>
      </c>
    </row>
    <row r="38" spans="1:10" ht="15.75" customHeight="1" x14ac:dyDescent="0.25">
      <c r="A38" s="9" t="str">
        <f t="shared" si="4"/>
        <v/>
      </c>
      <c r="B38" s="8"/>
      <c r="C38" s="24"/>
      <c r="D38" s="24"/>
      <c r="E38" s="24"/>
      <c r="F38" s="24"/>
      <c r="G38" s="24"/>
      <c r="H38" s="25">
        <f t="shared" si="0"/>
        <v>0</v>
      </c>
      <c r="I38" s="25">
        <f t="shared" si="1"/>
        <v>0</v>
      </c>
      <c r="J38" s="25">
        <f t="shared" si="3"/>
        <v>0</v>
      </c>
    </row>
    <row r="39" spans="1:10" ht="15.75" customHeight="1" x14ac:dyDescent="0.25">
      <c r="A39" s="9" t="str">
        <f t="shared" si="4"/>
        <v/>
      </c>
      <c r="B39" s="8"/>
      <c r="C39" s="24"/>
      <c r="D39" s="24"/>
      <c r="E39" s="24"/>
      <c r="F39" s="24"/>
      <c r="G39" s="24"/>
      <c r="H39" s="25">
        <f t="shared" si="0"/>
        <v>0</v>
      </c>
      <c r="I39" s="25">
        <f t="shared" si="1"/>
        <v>0</v>
      </c>
      <c r="J39" s="25">
        <f t="shared" si="3"/>
        <v>0</v>
      </c>
    </row>
    <row r="40" spans="1:10" ht="15.75" customHeight="1" x14ac:dyDescent="0.25">
      <c r="A40" s="9" t="str">
        <f t="shared" si="4"/>
        <v/>
      </c>
      <c r="B40" s="8"/>
      <c r="C40" s="24"/>
      <c r="D40" s="24"/>
      <c r="E40" s="24"/>
      <c r="F40" s="24"/>
      <c r="G40" s="24"/>
      <c r="H40" s="25">
        <f t="shared" si="0"/>
        <v>0</v>
      </c>
      <c r="I40" s="25">
        <f t="shared" si="1"/>
        <v>0</v>
      </c>
      <c r="J40" s="25">
        <f t="shared" si="3"/>
        <v>0</v>
      </c>
    </row>
  </sheetData>
  <conditionalFormatting sqref="B16:J40 H2:J15">
    <cfRule type="expression" dxfId="1" priority="10">
      <formula>$A2=""</formula>
    </cfRule>
  </conditionalFormatting>
  <conditionalFormatting sqref="B2:G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27"/>
  <sheetViews>
    <sheetView zoomScale="60" zoomScaleNormal="60" workbookViewId="0">
      <selection activeCell="K21" sqref="K21"/>
    </sheetView>
  </sheetViews>
  <sheetFormatPr defaultColWidth="14.36328125" defaultRowHeight="15.75" customHeight="1" x14ac:dyDescent="0.25"/>
  <cols>
    <col min="1" max="1" width="31.36328125" customWidth="1"/>
    <col min="2" max="7" width="13" customWidth="1"/>
    <col min="8" max="8" width="42.81640625" customWidth="1"/>
  </cols>
  <sheetData>
    <row r="1" spans="1:8" ht="27.75" customHeight="1" x14ac:dyDescent="0.3">
      <c r="A1" s="11" t="str">
        <f>"Percentage of deaths in baseline year ("&amp;start_year&amp;") attributable to cause"</f>
        <v>Percentage of deaths in baseline year (2017) attributable to cause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32</v>
      </c>
      <c r="H1" s="86" t="s">
        <v>204</v>
      </c>
    </row>
    <row r="2" spans="1:8" ht="15.75" customHeight="1" x14ac:dyDescent="0.25">
      <c r="A2" s="27" t="s">
        <v>73</v>
      </c>
      <c r="B2" s="82">
        <v>4.4999999999999997E-3</v>
      </c>
      <c r="C2" s="28">
        <v>0</v>
      </c>
      <c r="D2" s="28">
        <v>0</v>
      </c>
      <c r="E2" s="28">
        <v>0</v>
      </c>
      <c r="F2" s="28">
        <v>0</v>
      </c>
      <c r="G2" s="28">
        <v>0</v>
      </c>
      <c r="H2" s="172" t="s">
        <v>206</v>
      </c>
    </row>
    <row r="3" spans="1:8" ht="15.75" customHeight="1" x14ac:dyDescent="0.25">
      <c r="A3" s="27" t="s">
        <v>7</v>
      </c>
      <c r="B3" s="82">
        <v>0.1603</v>
      </c>
      <c r="C3" s="28">
        <v>0</v>
      </c>
      <c r="D3" s="28">
        <v>0</v>
      </c>
      <c r="E3" s="28">
        <v>0</v>
      </c>
      <c r="F3" s="28">
        <v>0</v>
      </c>
      <c r="G3" s="28">
        <v>0</v>
      </c>
      <c r="H3" s="173"/>
    </row>
    <row r="4" spans="1:8" ht="15.75" customHeight="1" x14ac:dyDescent="0.25">
      <c r="A4" s="27" t="s">
        <v>8</v>
      </c>
      <c r="B4" s="82">
        <v>6.3500000000000001E-2</v>
      </c>
      <c r="C4" s="28">
        <v>0</v>
      </c>
      <c r="D4" s="28">
        <v>0</v>
      </c>
      <c r="E4" s="28">
        <v>0</v>
      </c>
      <c r="F4" s="28">
        <v>0</v>
      </c>
      <c r="G4" s="28">
        <v>0</v>
      </c>
      <c r="H4" s="173"/>
    </row>
    <row r="5" spans="1:8" ht="15.75" customHeight="1" x14ac:dyDescent="0.25">
      <c r="A5" s="27" t="s">
        <v>10</v>
      </c>
      <c r="B5" s="82">
        <v>0.28639999999999999</v>
      </c>
      <c r="C5" s="28">
        <v>0</v>
      </c>
      <c r="D5" s="28">
        <v>0</v>
      </c>
      <c r="E5" s="28">
        <v>0</v>
      </c>
      <c r="F5" s="28">
        <v>0</v>
      </c>
      <c r="G5" s="28">
        <v>0</v>
      </c>
      <c r="H5" s="173"/>
    </row>
    <row r="6" spans="1:8" ht="15.75" customHeight="1" x14ac:dyDescent="0.25">
      <c r="A6" s="27" t="s">
        <v>13</v>
      </c>
      <c r="B6" s="82">
        <v>0.34749999999999998</v>
      </c>
      <c r="C6" s="28">
        <v>0</v>
      </c>
      <c r="D6" s="28">
        <v>0</v>
      </c>
      <c r="E6" s="28">
        <v>0</v>
      </c>
      <c r="F6" s="28">
        <v>0</v>
      </c>
      <c r="G6" s="28">
        <v>0</v>
      </c>
      <c r="H6" s="173"/>
    </row>
    <row r="7" spans="1:8" ht="15.75" customHeight="1" x14ac:dyDescent="0.25">
      <c r="A7" s="27" t="s">
        <v>14</v>
      </c>
      <c r="B7" s="82">
        <v>1.12E-2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173"/>
    </row>
    <row r="8" spans="1:8" ht="15.75" customHeight="1" x14ac:dyDescent="0.25">
      <c r="A8" s="27" t="s">
        <v>27</v>
      </c>
      <c r="B8" s="82">
        <v>7.1300000000000002E-2</v>
      </c>
      <c r="C8" s="28">
        <v>0</v>
      </c>
      <c r="D8" s="28">
        <v>0</v>
      </c>
      <c r="E8" s="28">
        <v>0</v>
      </c>
      <c r="F8" s="28">
        <v>0</v>
      </c>
      <c r="G8" s="28">
        <v>0</v>
      </c>
      <c r="H8" s="173"/>
    </row>
    <row r="9" spans="1:8" ht="15.75" customHeight="1" x14ac:dyDescent="0.25">
      <c r="A9" s="27" t="s">
        <v>15</v>
      </c>
      <c r="B9" s="82">
        <v>5.5300000000000002E-2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173"/>
    </row>
    <row r="10" spans="1:8" ht="15.75" customHeight="1" x14ac:dyDescent="0.25">
      <c r="A10" s="27" t="s">
        <v>71</v>
      </c>
      <c r="B10" s="28">
        <v>0</v>
      </c>
      <c r="C10" s="82">
        <v>0.15160000000000001</v>
      </c>
      <c r="D10" s="82">
        <v>0.15160000000000001</v>
      </c>
      <c r="E10" s="82">
        <v>0.15160000000000001</v>
      </c>
      <c r="F10" s="82">
        <v>0.15160000000000001</v>
      </c>
      <c r="G10" s="28">
        <v>0</v>
      </c>
      <c r="H10" s="173"/>
    </row>
    <row r="11" spans="1:8" ht="15.75" customHeight="1" x14ac:dyDescent="0.25">
      <c r="A11" s="27" t="s">
        <v>16</v>
      </c>
      <c r="B11" s="28">
        <v>0</v>
      </c>
      <c r="C11" s="82">
        <v>0.19289999999999999</v>
      </c>
      <c r="D11" s="82">
        <v>0.19289999999999999</v>
      </c>
      <c r="E11" s="82">
        <v>0.19289999999999999</v>
      </c>
      <c r="F11" s="82">
        <v>0.19289999999999999</v>
      </c>
      <c r="G11" s="28">
        <v>0</v>
      </c>
      <c r="H11" s="173"/>
    </row>
    <row r="12" spans="1:8" ht="15.75" customHeight="1" x14ac:dyDescent="0.25">
      <c r="A12" s="27" t="s">
        <v>17</v>
      </c>
      <c r="B12" s="28">
        <v>0</v>
      </c>
      <c r="C12" s="82">
        <v>3.7999999999999999E-2</v>
      </c>
      <c r="D12" s="82">
        <v>3.7999999999999999E-2</v>
      </c>
      <c r="E12" s="82">
        <v>3.7999999999999999E-2</v>
      </c>
      <c r="F12" s="82">
        <v>3.7999999999999999E-2</v>
      </c>
      <c r="G12" s="28">
        <v>0</v>
      </c>
      <c r="H12" s="173"/>
    </row>
    <row r="13" spans="1:8" ht="15.75" customHeight="1" x14ac:dyDescent="0.25">
      <c r="A13" s="27" t="s">
        <v>18</v>
      </c>
      <c r="B13" s="28">
        <v>0</v>
      </c>
      <c r="C13" s="82">
        <v>4.5499999999999999E-2</v>
      </c>
      <c r="D13" s="82">
        <v>4.5499999999999999E-2</v>
      </c>
      <c r="E13" s="82">
        <v>4.5499999999999999E-2</v>
      </c>
      <c r="F13" s="82">
        <v>4.5499999999999999E-2</v>
      </c>
      <c r="G13" s="28">
        <v>0</v>
      </c>
      <c r="H13" s="173"/>
    </row>
    <row r="14" spans="1:8" ht="15.75" customHeight="1" x14ac:dyDescent="0.25">
      <c r="A14" s="27" t="s">
        <v>19</v>
      </c>
      <c r="B14" s="28">
        <v>0</v>
      </c>
      <c r="C14" s="82">
        <v>0.1739</v>
      </c>
      <c r="D14" s="82">
        <v>0.1739</v>
      </c>
      <c r="E14" s="82">
        <v>0.1739</v>
      </c>
      <c r="F14" s="82">
        <v>0.1739</v>
      </c>
      <c r="G14" s="28">
        <v>0</v>
      </c>
      <c r="H14" s="173"/>
    </row>
    <row r="15" spans="1:8" ht="15.75" customHeight="1" x14ac:dyDescent="0.25">
      <c r="A15" s="27" t="s">
        <v>20</v>
      </c>
      <c r="B15" s="28">
        <v>0</v>
      </c>
      <c r="C15" s="82">
        <v>1.32E-2</v>
      </c>
      <c r="D15" s="82">
        <v>1.32E-2</v>
      </c>
      <c r="E15" s="82">
        <v>1.32E-2</v>
      </c>
      <c r="F15" s="82">
        <v>1.32E-2</v>
      </c>
      <c r="G15" s="28">
        <v>0</v>
      </c>
      <c r="H15" s="173"/>
    </row>
    <row r="16" spans="1:8" ht="15.75" customHeight="1" x14ac:dyDescent="0.25">
      <c r="A16" s="27" t="s">
        <v>21</v>
      </c>
      <c r="B16" s="28">
        <v>0</v>
      </c>
      <c r="C16" s="82">
        <v>7.7000000000000002E-3</v>
      </c>
      <c r="D16" s="82">
        <v>7.7000000000000002E-3</v>
      </c>
      <c r="E16" s="82">
        <v>7.7000000000000002E-3</v>
      </c>
      <c r="F16" s="82">
        <v>7.7000000000000002E-3</v>
      </c>
      <c r="G16" s="28">
        <v>0</v>
      </c>
      <c r="H16" s="173"/>
    </row>
    <row r="17" spans="1:8" ht="15.75" customHeight="1" x14ac:dyDescent="0.25">
      <c r="A17" s="27" t="s">
        <v>22</v>
      </c>
      <c r="B17" s="28">
        <v>0</v>
      </c>
      <c r="C17" s="82">
        <v>7.8600000000000003E-2</v>
      </c>
      <c r="D17" s="82">
        <v>7.8600000000000003E-2</v>
      </c>
      <c r="E17" s="82">
        <v>7.8600000000000003E-2</v>
      </c>
      <c r="F17" s="82">
        <v>7.8600000000000003E-2</v>
      </c>
      <c r="G17" s="28">
        <v>0</v>
      </c>
      <c r="H17" s="173"/>
    </row>
    <row r="18" spans="1:8" ht="15.75" customHeight="1" x14ac:dyDescent="0.25">
      <c r="A18" s="27" t="s">
        <v>23</v>
      </c>
      <c r="B18" s="28">
        <v>0</v>
      </c>
      <c r="C18" s="82">
        <v>0.29859999999999998</v>
      </c>
      <c r="D18" s="82">
        <v>0.29859999999999998</v>
      </c>
      <c r="E18" s="82">
        <v>0.29859999999999998</v>
      </c>
      <c r="F18" s="82">
        <v>0.29859999999999998</v>
      </c>
      <c r="G18" s="28">
        <v>0</v>
      </c>
      <c r="H18" s="173"/>
    </row>
    <row r="19" spans="1:8" ht="15.75" customHeight="1" x14ac:dyDescent="0.25">
      <c r="A19" s="27" t="s">
        <v>38</v>
      </c>
      <c r="B19" s="28">
        <v>0</v>
      </c>
      <c r="C19" s="28">
        <v>0</v>
      </c>
      <c r="D19" s="28">
        <v>0</v>
      </c>
      <c r="E19" s="28">
        <v>0</v>
      </c>
      <c r="F19" s="28">
        <v>0</v>
      </c>
      <c r="G19" s="83">
        <v>8.8900000000000007E-2</v>
      </c>
      <c r="H19" s="173"/>
    </row>
    <row r="20" spans="1:8" ht="15.75" customHeight="1" x14ac:dyDescent="0.25">
      <c r="A20" s="27" t="s">
        <v>39</v>
      </c>
      <c r="B20" s="28">
        <v>0</v>
      </c>
      <c r="C20" s="28">
        <v>0</v>
      </c>
      <c r="D20" s="28">
        <v>0</v>
      </c>
      <c r="E20" s="28">
        <v>0</v>
      </c>
      <c r="F20" s="28">
        <v>0</v>
      </c>
      <c r="G20" s="83">
        <v>8.6999999999999994E-3</v>
      </c>
      <c r="H20" s="173"/>
    </row>
    <row r="21" spans="1:8" ht="15.75" customHeight="1" x14ac:dyDescent="0.25">
      <c r="A21" s="27" t="s">
        <v>40</v>
      </c>
      <c r="B21" s="28">
        <v>0</v>
      </c>
      <c r="C21" s="28">
        <v>0</v>
      </c>
      <c r="D21" s="28">
        <v>0</v>
      </c>
      <c r="E21" s="28">
        <v>0</v>
      </c>
      <c r="F21" s="28">
        <v>0</v>
      </c>
      <c r="G21" s="83">
        <v>0.1575</v>
      </c>
      <c r="H21" s="173"/>
    </row>
    <row r="22" spans="1:8" ht="15.75" customHeight="1" x14ac:dyDescent="0.25">
      <c r="A22" s="27" t="s">
        <v>41</v>
      </c>
      <c r="B22" s="28">
        <v>0</v>
      </c>
      <c r="C22" s="28">
        <v>0</v>
      </c>
      <c r="D22" s="28">
        <v>0</v>
      </c>
      <c r="E22" s="28">
        <v>0</v>
      </c>
      <c r="F22" s="28">
        <v>0</v>
      </c>
      <c r="G22" s="83">
        <v>0.16980000000000001</v>
      </c>
      <c r="H22" s="173"/>
    </row>
    <row r="23" spans="1:8" ht="15.75" customHeight="1" x14ac:dyDescent="0.25">
      <c r="A23" s="27" t="s">
        <v>42</v>
      </c>
      <c r="B23" s="28">
        <v>0</v>
      </c>
      <c r="C23" s="28">
        <v>0</v>
      </c>
      <c r="D23" s="28">
        <v>0</v>
      </c>
      <c r="E23" s="28">
        <v>0</v>
      </c>
      <c r="F23" s="28">
        <v>0</v>
      </c>
      <c r="G23" s="83">
        <v>0.10489999999999999</v>
      </c>
      <c r="H23" s="173"/>
    </row>
    <row r="24" spans="1:8" ht="15.75" customHeight="1" x14ac:dyDescent="0.25">
      <c r="A24" s="27" t="s">
        <v>43</v>
      </c>
      <c r="B24" s="28">
        <v>0</v>
      </c>
      <c r="C24" s="28">
        <v>0</v>
      </c>
      <c r="D24" s="28">
        <v>0</v>
      </c>
      <c r="E24" s="28">
        <v>0</v>
      </c>
      <c r="F24" s="28">
        <v>0</v>
      </c>
      <c r="G24" s="83">
        <v>0.1087</v>
      </c>
      <c r="H24" s="173"/>
    </row>
    <row r="25" spans="1:8" ht="15.75" customHeight="1" x14ac:dyDescent="0.25">
      <c r="A25" s="27" t="s">
        <v>44</v>
      </c>
      <c r="B25" s="28">
        <v>0</v>
      </c>
      <c r="C25" s="28">
        <v>0</v>
      </c>
      <c r="D25" s="28">
        <v>0</v>
      </c>
      <c r="E25" s="28">
        <v>0</v>
      </c>
      <c r="F25" s="28">
        <v>0</v>
      </c>
      <c r="G25" s="83">
        <v>1.8800000000000001E-2</v>
      </c>
      <c r="H25" s="173"/>
    </row>
    <row r="26" spans="1:8" ht="15.75" customHeight="1" x14ac:dyDescent="0.25">
      <c r="A26" s="27" t="s">
        <v>45</v>
      </c>
      <c r="B26" s="28">
        <v>0</v>
      </c>
      <c r="C26" s="28">
        <v>0</v>
      </c>
      <c r="D26" s="28">
        <v>0</v>
      </c>
      <c r="E26" s="28">
        <v>0</v>
      </c>
      <c r="F26" s="28">
        <v>0</v>
      </c>
      <c r="G26" s="83">
        <v>8.5800000000000001E-2</v>
      </c>
      <c r="H26" s="173"/>
    </row>
    <row r="27" spans="1:8" ht="15.75" customHeight="1" x14ac:dyDescent="0.25">
      <c r="A27" s="27" t="s">
        <v>46</v>
      </c>
      <c r="B27" s="28">
        <v>0</v>
      </c>
      <c r="C27" s="28">
        <v>0</v>
      </c>
      <c r="D27" s="28">
        <v>0</v>
      </c>
      <c r="E27" s="28">
        <v>0</v>
      </c>
      <c r="F27" s="28">
        <v>0</v>
      </c>
      <c r="G27" s="83">
        <v>0.25690000000000002</v>
      </c>
      <c r="H27" s="173"/>
    </row>
  </sheetData>
  <mergeCells count="1">
    <mergeCell ref="H2:H27"/>
  </mergeCells>
  <phoneticPr fontId="8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AF167"/>
  <sheetViews>
    <sheetView zoomScale="72" zoomScaleNormal="60" workbookViewId="0">
      <selection activeCell="G17" sqref="G17"/>
    </sheetView>
  </sheetViews>
  <sheetFormatPr defaultColWidth="14.36328125" defaultRowHeight="15.75" customHeight="1" x14ac:dyDescent="0.25"/>
  <cols>
    <col min="1" max="1" width="31.36328125" customWidth="1"/>
    <col min="2" max="2" width="24" customWidth="1"/>
    <col min="8" max="8" width="16.08984375" bestFit="1" customWidth="1"/>
  </cols>
  <sheetData>
    <row r="1" spans="1:15" ht="36" customHeight="1" x14ac:dyDescent="0.3">
      <c r="A1" s="31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  <c r="H1" s="86" t="s">
        <v>204</v>
      </c>
    </row>
    <row r="2" spans="1:15" ht="15.75" customHeight="1" x14ac:dyDescent="0.25">
      <c r="A2" s="6" t="s">
        <v>116</v>
      </c>
      <c r="B2" s="14" t="s">
        <v>118</v>
      </c>
      <c r="C2" s="149">
        <v>0.56795980000000001</v>
      </c>
      <c r="D2" s="149">
        <v>0.56795980000000001</v>
      </c>
      <c r="E2" s="149">
        <v>0.66852959999999995</v>
      </c>
      <c r="F2" s="149">
        <v>0.36412640000000002</v>
      </c>
      <c r="G2" s="149">
        <v>0.1948841</v>
      </c>
      <c r="H2" s="172" t="s">
        <v>242</v>
      </c>
    </row>
    <row r="3" spans="1:15" ht="15.75" customHeight="1" x14ac:dyDescent="0.25">
      <c r="A3" s="5"/>
      <c r="B3" s="14" t="s">
        <v>119</v>
      </c>
      <c r="C3" s="149">
        <v>0.23283319999999999</v>
      </c>
      <c r="D3" s="149">
        <v>0.23283319999999999</v>
      </c>
      <c r="E3" s="149">
        <v>0.20072599999999999</v>
      </c>
      <c r="F3" s="149">
        <v>0.23067119999999999</v>
      </c>
      <c r="G3" s="149">
        <v>0.1967824</v>
      </c>
      <c r="H3" s="172"/>
    </row>
    <row r="4" spans="1:15" ht="15.75" customHeight="1" x14ac:dyDescent="0.25">
      <c r="A4" s="5"/>
      <c r="B4" s="14" t="s">
        <v>117</v>
      </c>
      <c r="C4" s="149">
        <v>7.20441E-2</v>
      </c>
      <c r="D4" s="149">
        <v>7.20441E-2</v>
      </c>
      <c r="E4" s="149">
        <v>8.1501699999999996E-2</v>
      </c>
      <c r="F4" s="149">
        <v>0.2428227</v>
      </c>
      <c r="G4" s="149">
        <v>0.25094650000000002</v>
      </c>
      <c r="H4" s="172"/>
    </row>
    <row r="5" spans="1:15" ht="15.75" customHeight="1" x14ac:dyDescent="0.25">
      <c r="A5" s="5"/>
      <c r="B5" s="14" t="s">
        <v>120</v>
      </c>
      <c r="C5" s="149">
        <v>0.12716279999999999</v>
      </c>
      <c r="D5" s="149">
        <v>0.12716279999999999</v>
      </c>
      <c r="E5" s="149">
        <v>4.92427E-2</v>
      </c>
      <c r="F5" s="149">
        <v>0.16237969999999999</v>
      </c>
      <c r="G5" s="149">
        <v>0.35738710000000001</v>
      </c>
      <c r="H5" s="172"/>
      <c r="I5" s="121"/>
    </row>
    <row r="6" spans="1:15" ht="15.75" customHeight="1" x14ac:dyDescent="0.25">
      <c r="B6" s="17"/>
      <c r="C6" s="33">
        <f>SUM(C2:C5)</f>
        <v>0.99999989999999994</v>
      </c>
      <c r="D6" s="33"/>
      <c r="E6" s="33"/>
      <c r="F6" s="33"/>
      <c r="G6" s="33"/>
    </row>
    <row r="7" spans="1:15" ht="15.75" customHeight="1" x14ac:dyDescent="0.25">
      <c r="B7" s="17"/>
      <c r="C7" s="33"/>
      <c r="D7" s="33"/>
      <c r="E7" s="33"/>
      <c r="F7" s="33"/>
      <c r="G7" s="33"/>
    </row>
    <row r="8" spans="1:15" ht="15.75" customHeight="1" x14ac:dyDescent="0.25">
      <c r="A8" s="3" t="s">
        <v>115</v>
      </c>
      <c r="B8" s="9" t="s">
        <v>121</v>
      </c>
      <c r="C8" s="149">
        <v>0.67669049999999997</v>
      </c>
      <c r="D8" s="149">
        <v>0.67669049999999997</v>
      </c>
      <c r="E8" s="149">
        <v>0.44552170000000002</v>
      </c>
      <c r="F8" s="149">
        <v>0.72412779999999999</v>
      </c>
      <c r="G8" s="149">
        <v>0.83163540000000002</v>
      </c>
      <c r="H8" s="172" t="s">
        <v>242</v>
      </c>
    </row>
    <row r="9" spans="1:15" ht="15.75" customHeight="1" x14ac:dyDescent="0.25">
      <c r="B9" s="9" t="s">
        <v>122</v>
      </c>
      <c r="C9" s="149">
        <v>0.1306901</v>
      </c>
      <c r="D9" s="149">
        <v>0.1306901</v>
      </c>
      <c r="E9" s="149">
        <v>0.47647139999999999</v>
      </c>
      <c r="F9" s="149">
        <v>0.2025081</v>
      </c>
      <c r="G9" s="149">
        <v>0.13821629999999999</v>
      </c>
      <c r="H9" s="172"/>
    </row>
    <row r="10" spans="1:15" ht="15.75" customHeight="1" x14ac:dyDescent="0.25">
      <c r="B10" s="9" t="s">
        <v>123</v>
      </c>
      <c r="C10" s="149">
        <v>0.17349129999999999</v>
      </c>
      <c r="D10" s="149">
        <v>0.17349129999999999</v>
      </c>
      <c r="E10" s="149">
        <v>7.8007000000000007E-2</v>
      </c>
      <c r="F10" s="149">
        <v>7.3364100000000002E-2</v>
      </c>
      <c r="G10" s="149">
        <v>2.1949400000000001E-2</v>
      </c>
      <c r="H10" s="172"/>
    </row>
    <row r="11" spans="1:15" ht="15.75" customHeight="1" x14ac:dyDescent="0.25">
      <c r="B11" s="9" t="s">
        <v>124</v>
      </c>
      <c r="C11" s="149">
        <v>1.9128099999999999E-2</v>
      </c>
      <c r="D11" s="149">
        <v>1.9128099999999999E-2</v>
      </c>
      <c r="E11" s="149">
        <v>0</v>
      </c>
      <c r="F11" s="149">
        <v>0</v>
      </c>
      <c r="G11" s="149">
        <v>8.1989000000000003E-3</v>
      </c>
      <c r="H11" s="172"/>
    </row>
    <row r="12" spans="1:15" ht="15.75" customHeight="1" x14ac:dyDescent="0.25">
      <c r="C12" s="10"/>
      <c r="D12" s="10"/>
      <c r="E12" s="10"/>
      <c r="F12" s="10"/>
      <c r="G12" s="10"/>
      <c r="I12" s="18"/>
      <c r="J12" s="18"/>
      <c r="K12" s="18"/>
      <c r="L12" s="18"/>
      <c r="M12" s="18"/>
      <c r="N12" s="18"/>
      <c r="O12" s="18"/>
    </row>
    <row r="13" spans="1:15" ht="27" customHeight="1" x14ac:dyDescent="0.25">
      <c r="A13" s="15" t="s">
        <v>70</v>
      </c>
      <c r="C13" s="49" t="s">
        <v>1</v>
      </c>
      <c r="D13" s="49" t="s">
        <v>2</v>
      </c>
      <c r="E13" s="49" t="s">
        <v>3</v>
      </c>
      <c r="F13" s="49" t="s">
        <v>4</v>
      </c>
      <c r="G13" s="49" t="s">
        <v>5</v>
      </c>
      <c r="H13" s="87" t="s">
        <v>53</v>
      </c>
      <c r="I13" s="87" t="s">
        <v>54</v>
      </c>
      <c r="J13" s="87" t="s">
        <v>55</v>
      </c>
      <c r="K13" s="87" t="s">
        <v>56</v>
      </c>
      <c r="L13" s="87" t="s">
        <v>49</v>
      </c>
      <c r="M13" s="87" t="s">
        <v>50</v>
      </c>
      <c r="N13" s="87" t="s">
        <v>51</v>
      </c>
      <c r="O13" s="87" t="s">
        <v>52</v>
      </c>
    </row>
    <row r="14" spans="1:15" ht="15.75" customHeight="1" x14ac:dyDescent="0.25">
      <c r="B14" s="19" t="s">
        <v>132</v>
      </c>
      <c r="C14" s="157"/>
      <c r="D14" s="157"/>
      <c r="E14" s="149">
        <v>0.76049999999999995</v>
      </c>
      <c r="F14" s="149">
        <v>0.74129999999999996</v>
      </c>
      <c r="G14" s="149">
        <v>0.79039999999999999</v>
      </c>
      <c r="H14" s="162">
        <v>0.45</v>
      </c>
      <c r="I14" s="162">
        <v>0.4829</v>
      </c>
      <c r="J14" s="162">
        <v>0.62129999999999996</v>
      </c>
      <c r="K14" s="162">
        <v>1</v>
      </c>
      <c r="L14" s="162">
        <v>0.55810000000000004</v>
      </c>
      <c r="M14" s="162">
        <v>0.51690000000000003</v>
      </c>
      <c r="N14" s="162">
        <v>0.53210000000000002</v>
      </c>
      <c r="O14" s="162">
        <v>0.41639999999999999</v>
      </c>
    </row>
    <row r="15" spans="1:15" ht="15.75" customHeight="1" x14ac:dyDescent="0.25">
      <c r="B15" s="19" t="s">
        <v>68</v>
      </c>
      <c r="C15" s="37">
        <f t="shared" ref="C15:O15" si="0">iron_deficiency_anaemia*C14</f>
        <v>0</v>
      </c>
      <c r="D15" s="37">
        <f t="shared" si="0"/>
        <v>0</v>
      </c>
      <c r="E15" s="37">
        <f t="shared" si="0"/>
        <v>0.33096959999999997</v>
      </c>
      <c r="F15" s="37">
        <f t="shared" si="0"/>
        <v>0.32261375999999997</v>
      </c>
      <c r="G15" s="37">
        <f t="shared" si="0"/>
        <v>0.34398207999999997</v>
      </c>
      <c r="H15" s="37">
        <f t="shared" si="0"/>
        <v>0.19583999999999999</v>
      </c>
      <c r="I15" s="37">
        <f t="shared" si="0"/>
        <v>0.21015808</v>
      </c>
      <c r="J15" s="37">
        <f t="shared" si="0"/>
        <v>0.27038975999999998</v>
      </c>
      <c r="K15" s="37">
        <f t="shared" si="0"/>
        <v>0.43519999999999998</v>
      </c>
      <c r="L15" s="37">
        <f t="shared" si="0"/>
        <v>0.24288512000000001</v>
      </c>
      <c r="M15" s="37">
        <f t="shared" si="0"/>
        <v>0.22495488</v>
      </c>
      <c r="N15" s="37">
        <f t="shared" si="0"/>
        <v>0.23156991999999998</v>
      </c>
      <c r="O15" s="37">
        <f t="shared" si="0"/>
        <v>0.18121727999999998</v>
      </c>
    </row>
    <row r="16" spans="1:15" ht="19" customHeight="1" x14ac:dyDescent="0.3">
      <c r="B16" s="94" t="s">
        <v>211</v>
      </c>
      <c r="C16" s="176" t="s">
        <v>242</v>
      </c>
      <c r="D16" s="177"/>
      <c r="E16" s="177"/>
      <c r="F16" s="177"/>
      <c r="G16" s="177"/>
      <c r="H16" s="178" t="s">
        <v>242</v>
      </c>
      <c r="I16" s="179"/>
      <c r="J16" s="179"/>
      <c r="K16" s="179"/>
      <c r="L16" s="179"/>
      <c r="M16" s="179"/>
      <c r="N16" s="179"/>
      <c r="O16" s="179"/>
    </row>
    <row r="17" spans="1:32" ht="49.75" customHeight="1" x14ac:dyDescent="0.25">
      <c r="C17" s="10"/>
      <c r="D17" s="10"/>
      <c r="E17" s="10"/>
      <c r="F17" s="10"/>
      <c r="G17" s="10"/>
      <c r="H17" s="180"/>
      <c r="I17" s="180"/>
      <c r="J17" s="180"/>
      <c r="K17" s="180"/>
      <c r="L17" s="180"/>
      <c r="M17" s="180"/>
      <c r="N17" s="180"/>
      <c r="O17" s="180"/>
    </row>
    <row r="21" spans="1:32" ht="15.75" customHeight="1" x14ac:dyDescent="0.35">
      <c r="A21" s="104" t="s">
        <v>255</v>
      </c>
      <c r="B21" s="105" t="s">
        <v>116</v>
      </c>
      <c r="C21" s="120" t="s">
        <v>213</v>
      </c>
      <c r="D21" s="120" t="s">
        <v>214</v>
      </c>
      <c r="E21" s="120" t="s">
        <v>215</v>
      </c>
      <c r="F21" s="120" t="s">
        <v>216</v>
      </c>
      <c r="G21" s="120" t="s">
        <v>217</v>
      </c>
      <c r="H21" s="120" t="s">
        <v>218</v>
      </c>
      <c r="I21" s="120" t="s">
        <v>219</v>
      </c>
      <c r="J21" s="120" t="s">
        <v>220</v>
      </c>
      <c r="K21" s="120" t="s">
        <v>221</v>
      </c>
      <c r="L21" s="120" t="s">
        <v>222</v>
      </c>
      <c r="M21" s="120" t="s">
        <v>223</v>
      </c>
      <c r="N21" s="120" t="s">
        <v>224</v>
      </c>
      <c r="O21" s="120" t="s">
        <v>225</v>
      </c>
      <c r="P21" s="120" t="s">
        <v>226</v>
      </c>
      <c r="Q21" s="120" t="s">
        <v>227</v>
      </c>
      <c r="R21" s="120" t="s">
        <v>228</v>
      </c>
      <c r="S21" s="120" t="s">
        <v>229</v>
      </c>
      <c r="T21" s="120" t="s">
        <v>230</v>
      </c>
      <c r="U21" s="120" t="s">
        <v>231</v>
      </c>
      <c r="V21" s="120" t="s">
        <v>232</v>
      </c>
      <c r="W21" s="120" t="s">
        <v>233</v>
      </c>
      <c r="X21" s="120" t="s">
        <v>234</v>
      </c>
      <c r="Y21" s="120" t="s">
        <v>235</v>
      </c>
      <c r="Z21" s="120" t="s">
        <v>236</v>
      </c>
      <c r="AA21" s="120" t="s">
        <v>237</v>
      </c>
      <c r="AB21" s="120" t="s">
        <v>238</v>
      </c>
      <c r="AC21" s="120" t="s">
        <v>239</v>
      </c>
      <c r="AE21" s="98"/>
      <c r="AF21" s="99"/>
    </row>
    <row r="22" spans="1:32" ht="15.75" customHeight="1" x14ac:dyDescent="0.35">
      <c r="A22" s="127" t="s">
        <v>269</v>
      </c>
      <c r="B22" s="119" t="s">
        <v>120</v>
      </c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E22" s="98"/>
      <c r="AF22" s="99"/>
    </row>
    <row r="23" spans="1:32" ht="15.75" customHeight="1" x14ac:dyDescent="0.35">
      <c r="A23" s="108"/>
      <c r="B23" s="109" t="s">
        <v>1</v>
      </c>
      <c r="C23" s="149">
        <v>6.6536810000000002E-2</v>
      </c>
      <c r="D23" s="149">
        <v>1.87248E-2</v>
      </c>
      <c r="E23" s="149">
        <v>0.100981</v>
      </c>
      <c r="F23" s="149">
        <v>0</v>
      </c>
      <c r="G23" s="149">
        <v>0</v>
      </c>
      <c r="H23" s="149">
        <v>4.0609800000000001E-2</v>
      </c>
      <c r="I23" s="149">
        <v>8.2687999999999998E-3</v>
      </c>
      <c r="J23" s="149">
        <v>2.4713700000000002E-2</v>
      </c>
      <c r="K23" s="149">
        <v>1.5832800000000001E-2</v>
      </c>
      <c r="L23" s="149">
        <v>7.0045999999999997E-3</v>
      </c>
      <c r="M23" s="149">
        <v>0</v>
      </c>
      <c r="N23" s="149">
        <v>4.1618200000000001E-2</v>
      </c>
      <c r="O23" s="149">
        <v>0.12716279999999999</v>
      </c>
      <c r="P23" s="149">
        <v>3.9458699999999999E-2</v>
      </c>
      <c r="Q23" s="149">
        <v>2.9946199999999999E-2</v>
      </c>
      <c r="R23" s="149">
        <v>6.5428299999999995E-2</v>
      </c>
      <c r="S23" s="149">
        <v>9.2289099999999999E-2</v>
      </c>
      <c r="T23" s="149">
        <v>0.13952709999999999</v>
      </c>
      <c r="U23" s="149">
        <v>0.12479079999999999</v>
      </c>
      <c r="V23" s="149">
        <v>2.8172200000000001E-2</v>
      </c>
      <c r="W23" s="149">
        <v>0.1107316</v>
      </c>
      <c r="X23" s="149">
        <v>3.1771099999999997E-2</v>
      </c>
      <c r="Y23" s="149">
        <v>0.15377540000000001</v>
      </c>
      <c r="Z23" s="149">
        <v>6.4927600000000002E-2</v>
      </c>
      <c r="AA23" s="149">
        <v>0.41825010000000001</v>
      </c>
      <c r="AB23" s="149">
        <v>0.15889200000000001</v>
      </c>
      <c r="AC23" s="149">
        <v>0.1229383</v>
      </c>
      <c r="AE23" s="98" t="s">
        <v>242</v>
      </c>
      <c r="AF23" s="99"/>
    </row>
    <row r="24" spans="1:32" ht="15.75" customHeight="1" x14ac:dyDescent="0.35">
      <c r="A24" s="108"/>
      <c r="B24" s="109" t="s">
        <v>2</v>
      </c>
      <c r="C24" s="149">
        <v>6.6536810000000002E-2</v>
      </c>
      <c r="D24" s="149">
        <v>1.87248E-2</v>
      </c>
      <c r="E24" s="149">
        <v>0.100981</v>
      </c>
      <c r="F24" s="149">
        <v>0</v>
      </c>
      <c r="G24" s="149">
        <v>0</v>
      </c>
      <c r="H24" s="149">
        <v>4.0609800000000001E-2</v>
      </c>
      <c r="I24" s="149">
        <v>8.2687999999999998E-3</v>
      </c>
      <c r="J24" s="149">
        <v>2.4713700000000002E-2</v>
      </c>
      <c r="K24" s="149">
        <v>1.5832800000000001E-2</v>
      </c>
      <c r="L24" s="149">
        <v>7.0045999999999997E-3</v>
      </c>
      <c r="M24" s="149">
        <v>0</v>
      </c>
      <c r="N24" s="149">
        <v>4.1618200000000001E-2</v>
      </c>
      <c r="O24" s="149">
        <v>0.12716279999999999</v>
      </c>
      <c r="P24" s="149">
        <v>3.9458699999999999E-2</v>
      </c>
      <c r="Q24" s="149">
        <v>2.9946199999999999E-2</v>
      </c>
      <c r="R24" s="149">
        <v>6.5428299999999995E-2</v>
      </c>
      <c r="S24" s="149">
        <v>9.2289099999999999E-2</v>
      </c>
      <c r="T24" s="149">
        <v>0.13952709999999999</v>
      </c>
      <c r="U24" s="149">
        <v>0.12479079999999999</v>
      </c>
      <c r="V24" s="149">
        <v>2.8172200000000001E-2</v>
      </c>
      <c r="W24" s="149">
        <v>0.1107316</v>
      </c>
      <c r="X24" s="149">
        <v>3.1771099999999997E-2</v>
      </c>
      <c r="Y24" s="149">
        <v>0.15377540000000001</v>
      </c>
      <c r="Z24" s="149">
        <v>6.4927600000000002E-2</v>
      </c>
      <c r="AA24" s="149">
        <v>0.41825010000000001</v>
      </c>
      <c r="AB24" s="149">
        <v>0.15889200000000001</v>
      </c>
      <c r="AC24" s="149">
        <v>0.1229383</v>
      </c>
      <c r="AE24" s="98" t="s">
        <v>242</v>
      </c>
      <c r="AF24" s="99"/>
    </row>
    <row r="25" spans="1:32" ht="15.75" customHeight="1" x14ac:dyDescent="0.35">
      <c r="A25" s="108"/>
      <c r="B25" s="109" t="s">
        <v>3</v>
      </c>
      <c r="C25" s="149">
        <v>0.1318588</v>
      </c>
      <c r="D25" s="149">
        <v>2.4612599999999998E-2</v>
      </c>
      <c r="E25" s="149">
        <v>2.8698000000000001E-2</v>
      </c>
      <c r="F25" s="149">
        <v>0.106002</v>
      </c>
      <c r="G25" s="149">
        <v>0</v>
      </c>
      <c r="H25" s="149">
        <v>0.15629319999999999</v>
      </c>
      <c r="I25" s="149">
        <v>0</v>
      </c>
      <c r="J25" s="149">
        <v>0.14432220000000001</v>
      </c>
      <c r="K25" s="149">
        <v>0.13038810000000001</v>
      </c>
      <c r="L25" s="149">
        <v>3.91052E-2</v>
      </c>
      <c r="M25" s="149">
        <v>0.12354519999999999</v>
      </c>
      <c r="N25" s="149">
        <v>0.16203980000000001</v>
      </c>
      <c r="O25" s="149">
        <v>4.92427E-2</v>
      </c>
      <c r="P25" s="149">
        <v>2.8129000000000001E-2</v>
      </c>
      <c r="Q25" s="149">
        <v>0.1450264</v>
      </c>
      <c r="R25" s="149">
        <v>0.16044510000000001</v>
      </c>
      <c r="S25" s="149">
        <v>8.5347999999999993E-2</v>
      </c>
      <c r="T25" s="149">
        <v>7.5028999999999998E-2</v>
      </c>
      <c r="U25" s="149">
        <v>1.74156E-2</v>
      </c>
      <c r="V25" s="149">
        <v>9.5903199999999994E-2</v>
      </c>
      <c r="W25" s="149">
        <v>9.2162400000000005E-2</v>
      </c>
      <c r="X25" s="149">
        <v>0.1760719</v>
      </c>
      <c r="Y25" s="149">
        <v>1.0933699999999999E-2</v>
      </c>
      <c r="Z25" s="149">
        <v>0.13928470000000001</v>
      </c>
      <c r="AA25" s="149">
        <v>0.1965433</v>
      </c>
      <c r="AB25" s="149">
        <v>5.3947799999999997E-2</v>
      </c>
      <c r="AC25" s="149">
        <v>0.55191380000000001</v>
      </c>
      <c r="AE25" s="98" t="s">
        <v>242</v>
      </c>
      <c r="AF25" s="99"/>
    </row>
    <row r="26" spans="1:32" ht="15.75" customHeight="1" x14ac:dyDescent="0.35">
      <c r="A26" s="108"/>
      <c r="B26" s="109" t="s">
        <v>4</v>
      </c>
      <c r="C26" s="149">
        <v>0.1769887</v>
      </c>
      <c r="D26" s="149">
        <v>1.5495399999999999E-2</v>
      </c>
      <c r="E26" s="149">
        <v>0.29593130000000001</v>
      </c>
      <c r="F26" s="149">
        <v>0.1849075</v>
      </c>
      <c r="G26" s="149">
        <v>0.133051</v>
      </c>
      <c r="H26" s="149">
        <v>0.1787783</v>
      </c>
      <c r="I26" s="149">
        <v>2.1944100000000001E-2</v>
      </c>
      <c r="J26" s="149">
        <v>0.17982709999999999</v>
      </c>
      <c r="K26" s="149">
        <v>6.76316E-2</v>
      </c>
      <c r="L26" s="149">
        <v>0.2035767</v>
      </c>
      <c r="M26" s="149">
        <v>0.1396066</v>
      </c>
      <c r="N26" s="149">
        <v>0.32442870000000001</v>
      </c>
      <c r="O26" s="149">
        <v>0.16237969999999999</v>
      </c>
      <c r="P26" s="149">
        <v>0.16540450000000001</v>
      </c>
      <c r="Q26" s="149">
        <v>0.1707833</v>
      </c>
      <c r="R26" s="149">
        <v>0.17612059999999999</v>
      </c>
      <c r="S26" s="149">
        <v>0.18324550000000001</v>
      </c>
      <c r="T26" s="149">
        <v>0.2267815</v>
      </c>
      <c r="U26" s="149">
        <v>0.18873770000000001</v>
      </c>
      <c r="V26" s="149">
        <v>0.23723720000000001</v>
      </c>
      <c r="W26" s="149">
        <v>0.14686759999999999</v>
      </c>
      <c r="X26" s="149">
        <v>0.24003379999999999</v>
      </c>
      <c r="Y26" s="149">
        <v>0.1041228</v>
      </c>
      <c r="Z26" s="149">
        <v>0.25339810000000001</v>
      </c>
      <c r="AA26" s="149">
        <v>0.31542690000000001</v>
      </c>
      <c r="AB26" s="149">
        <v>0.21462239999999999</v>
      </c>
      <c r="AC26" s="149">
        <v>0.16566610000000001</v>
      </c>
      <c r="AE26" s="98" t="s">
        <v>242</v>
      </c>
      <c r="AF26" s="99"/>
    </row>
    <row r="27" spans="1:32" ht="15.75" customHeight="1" x14ac:dyDescent="0.35">
      <c r="A27" s="108"/>
      <c r="B27" s="109" t="s">
        <v>5</v>
      </c>
      <c r="C27" s="149">
        <v>0.28308559999999999</v>
      </c>
      <c r="D27" s="149">
        <v>8.3424300000000007E-2</v>
      </c>
      <c r="E27" s="149">
        <v>0.31493959999999999</v>
      </c>
      <c r="F27" s="149">
        <v>0.17410780000000001</v>
      </c>
      <c r="G27" s="149">
        <v>0.1781943</v>
      </c>
      <c r="H27" s="149">
        <v>0.31167109999999998</v>
      </c>
      <c r="I27" s="149">
        <v>9.5854800000000004E-2</v>
      </c>
      <c r="J27" s="149">
        <v>0.28743879999999999</v>
      </c>
      <c r="K27" s="149">
        <v>0.26917590000000002</v>
      </c>
      <c r="L27" s="149">
        <v>0.27282960000000001</v>
      </c>
      <c r="M27" s="149">
        <v>0.36313469999999998</v>
      </c>
      <c r="N27" s="149">
        <v>0.45793119999999998</v>
      </c>
      <c r="O27" s="149">
        <v>0.35738710000000001</v>
      </c>
      <c r="P27" s="149">
        <v>0.21575269999999999</v>
      </c>
      <c r="Q27" s="149">
        <v>0.43638719999999998</v>
      </c>
      <c r="R27" s="149">
        <v>0.30051549999999999</v>
      </c>
      <c r="S27" s="149">
        <v>0.26778639999999998</v>
      </c>
      <c r="T27" s="149">
        <v>0.37124380000000001</v>
      </c>
      <c r="U27" s="149">
        <v>0.2191681</v>
      </c>
      <c r="V27" s="149">
        <v>0.35772880000000001</v>
      </c>
      <c r="W27" s="149">
        <v>0.24958269999999999</v>
      </c>
      <c r="X27" s="149">
        <v>0.37329849999999998</v>
      </c>
      <c r="Y27" s="149">
        <v>0.18512880000000001</v>
      </c>
      <c r="Z27" s="149">
        <v>0.29076489999999999</v>
      </c>
      <c r="AA27" s="149">
        <v>0.24301249999999999</v>
      </c>
      <c r="AB27" s="149">
        <v>0.33086389999999999</v>
      </c>
      <c r="AC27" s="149">
        <v>0.39717390000000002</v>
      </c>
      <c r="AE27" s="98" t="s">
        <v>242</v>
      </c>
      <c r="AF27" s="110"/>
    </row>
    <row r="28" spans="1:32" ht="15.75" customHeight="1" x14ac:dyDescent="0.35">
      <c r="A28" s="108"/>
      <c r="B28" s="109" t="s">
        <v>267</v>
      </c>
      <c r="C28" s="97"/>
      <c r="D28" s="97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E28" s="98"/>
      <c r="AF28" s="110"/>
    </row>
    <row r="29" spans="1:32" ht="15.75" customHeight="1" x14ac:dyDescent="0.35">
      <c r="A29" s="108"/>
      <c r="B29" s="109" t="s">
        <v>268</v>
      </c>
      <c r="C29" s="97"/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  <c r="AE29" s="98"/>
      <c r="AF29" s="110"/>
    </row>
    <row r="30" spans="1:32" ht="15.75" customHeight="1" x14ac:dyDescent="0.35">
      <c r="A30" s="111"/>
      <c r="B30" s="119" t="s">
        <v>117</v>
      </c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E30" s="98"/>
      <c r="AF30" s="99"/>
    </row>
    <row r="31" spans="1:32" ht="15.75" customHeight="1" x14ac:dyDescent="0.35">
      <c r="A31" s="111"/>
      <c r="B31" s="109" t="s">
        <v>1</v>
      </c>
      <c r="C31" s="149">
        <v>7.9955650000000003E-2</v>
      </c>
      <c r="D31" s="149">
        <v>7.6740799999999998E-2</v>
      </c>
      <c r="E31" s="149">
        <v>0.1061096</v>
      </c>
      <c r="F31" s="149">
        <v>4.6555899999999997E-2</v>
      </c>
      <c r="G31" s="149">
        <v>0</v>
      </c>
      <c r="H31" s="149">
        <v>0.1509064</v>
      </c>
      <c r="I31" s="149">
        <v>2.3905800000000001E-2</v>
      </c>
      <c r="J31" s="149">
        <v>0.10857550000000001</v>
      </c>
      <c r="K31" s="149">
        <v>3.4473799999999999E-2</v>
      </c>
      <c r="L31" s="149">
        <v>7.4464799999999998E-2</v>
      </c>
      <c r="M31" s="149">
        <v>0.1227616</v>
      </c>
      <c r="N31" s="149">
        <v>0.1033843</v>
      </c>
      <c r="O31" s="149">
        <v>7.20441E-2</v>
      </c>
      <c r="P31" s="149">
        <v>2.49173E-2</v>
      </c>
      <c r="Q31" s="149">
        <v>0</v>
      </c>
      <c r="R31" s="149">
        <v>0.24738270000000001</v>
      </c>
      <c r="S31" s="149">
        <v>6.0570499999999999E-2</v>
      </c>
      <c r="T31" s="149">
        <v>0.14760960000000001</v>
      </c>
      <c r="U31" s="149">
        <v>1.5577300000000001E-2</v>
      </c>
      <c r="V31" s="149">
        <v>0.1158684</v>
      </c>
      <c r="W31" s="149">
        <v>9.511E-2</v>
      </c>
      <c r="X31" s="149">
        <v>0.13706969999999999</v>
      </c>
      <c r="Y31" s="149">
        <v>9.0076600000000007E-2</v>
      </c>
      <c r="Z31" s="149">
        <v>0.1702467</v>
      </c>
      <c r="AA31" s="149">
        <v>4.4240000000000002E-2</v>
      </c>
      <c r="AB31" s="149">
        <v>0</v>
      </c>
      <c r="AC31" s="149">
        <v>5.5411599999999998E-2</v>
      </c>
      <c r="AE31" s="98" t="s">
        <v>242</v>
      </c>
      <c r="AF31" s="99"/>
    </row>
    <row r="32" spans="1:32" ht="15.75" customHeight="1" x14ac:dyDescent="0.35">
      <c r="A32" s="111"/>
      <c r="B32" s="109" t="s">
        <v>2</v>
      </c>
      <c r="C32" s="149">
        <v>7.9955650000000003E-2</v>
      </c>
      <c r="D32" s="149">
        <v>7.6740799999999998E-2</v>
      </c>
      <c r="E32" s="149">
        <v>0.1061096</v>
      </c>
      <c r="F32" s="149">
        <v>4.6555899999999997E-2</v>
      </c>
      <c r="G32" s="149">
        <v>0</v>
      </c>
      <c r="H32" s="149">
        <v>0.1509064</v>
      </c>
      <c r="I32" s="149">
        <v>2.3905800000000001E-2</v>
      </c>
      <c r="J32" s="149">
        <v>0.10857550000000001</v>
      </c>
      <c r="K32" s="149">
        <v>3.4473799999999999E-2</v>
      </c>
      <c r="L32" s="149">
        <v>7.4464799999999998E-2</v>
      </c>
      <c r="M32" s="149">
        <v>0.1227616</v>
      </c>
      <c r="N32" s="149">
        <v>0.1033843</v>
      </c>
      <c r="O32" s="149">
        <v>7.20441E-2</v>
      </c>
      <c r="P32" s="149">
        <v>2.49173E-2</v>
      </c>
      <c r="Q32" s="149">
        <v>0</v>
      </c>
      <c r="R32" s="149">
        <v>0.24738270000000001</v>
      </c>
      <c r="S32" s="149">
        <v>6.0570499999999999E-2</v>
      </c>
      <c r="T32" s="149">
        <v>0.14760960000000001</v>
      </c>
      <c r="U32" s="149">
        <v>1.5577300000000001E-2</v>
      </c>
      <c r="V32" s="149">
        <v>0.1158684</v>
      </c>
      <c r="W32" s="149">
        <v>9.511E-2</v>
      </c>
      <c r="X32" s="149">
        <v>0.13706969999999999</v>
      </c>
      <c r="Y32" s="149">
        <v>9.0076600000000007E-2</v>
      </c>
      <c r="Z32" s="149">
        <v>0.1702467</v>
      </c>
      <c r="AA32" s="149">
        <v>4.4240000000000002E-2</v>
      </c>
      <c r="AB32" s="149">
        <v>0</v>
      </c>
      <c r="AC32" s="149">
        <v>5.5411599999999998E-2</v>
      </c>
      <c r="AE32" s="98" t="s">
        <v>242</v>
      </c>
      <c r="AF32" s="99"/>
    </row>
    <row r="33" spans="1:32" ht="15.75" customHeight="1" x14ac:dyDescent="0.35">
      <c r="A33" s="111"/>
      <c r="B33" s="109" t="s">
        <v>3</v>
      </c>
      <c r="C33" s="149">
        <v>9.8902699999999996E-2</v>
      </c>
      <c r="D33" s="149">
        <v>0</v>
      </c>
      <c r="E33" s="149">
        <v>0.26936939999999998</v>
      </c>
      <c r="F33" s="149">
        <v>5.2377E-2</v>
      </c>
      <c r="G33" s="149">
        <v>0</v>
      </c>
      <c r="H33" s="149">
        <v>0.1031049</v>
      </c>
      <c r="I33" s="149">
        <v>2.4409699999999999E-2</v>
      </c>
      <c r="J33" s="149">
        <v>3.4499700000000001E-2</v>
      </c>
      <c r="K33" s="149">
        <v>3.9295400000000001E-2</v>
      </c>
      <c r="L33" s="149">
        <v>3.91052E-2</v>
      </c>
      <c r="M33" s="149">
        <v>9.1596899999999995E-2</v>
      </c>
      <c r="N33" s="149">
        <v>0.21185380000000001</v>
      </c>
      <c r="O33" s="149">
        <v>8.1501699999999996E-2</v>
      </c>
      <c r="P33" s="149">
        <v>6.4769400000000005E-2</v>
      </c>
      <c r="Q33" s="149">
        <v>0.18236820000000001</v>
      </c>
      <c r="R33" s="149">
        <v>0.13255120000000001</v>
      </c>
      <c r="S33" s="149">
        <v>0.12886700000000001</v>
      </c>
      <c r="T33" s="149">
        <v>0.115894</v>
      </c>
      <c r="U33" s="149">
        <v>0.2480927</v>
      </c>
      <c r="V33" s="149">
        <v>0.27915099999999998</v>
      </c>
      <c r="W33" s="149">
        <v>7.8805399999999998E-2</v>
      </c>
      <c r="X33" s="149">
        <v>0.12669050000000001</v>
      </c>
      <c r="Y33" s="149">
        <v>8.2347199999999995E-2</v>
      </c>
      <c r="Z33" s="149">
        <v>1.9337300000000002E-2</v>
      </c>
      <c r="AA33" s="149">
        <v>0.1491209</v>
      </c>
      <c r="AB33" s="149">
        <v>2.9616799999999999E-2</v>
      </c>
      <c r="AC33" s="149">
        <v>0.1507076</v>
      </c>
      <c r="AE33" s="98" t="s">
        <v>242</v>
      </c>
      <c r="AF33" s="99"/>
    </row>
    <row r="34" spans="1:32" ht="15.75" customHeight="1" x14ac:dyDescent="0.35">
      <c r="A34" s="111"/>
      <c r="B34" s="109" t="s">
        <v>4</v>
      </c>
      <c r="C34" s="149">
        <v>0.21348059999999999</v>
      </c>
      <c r="D34" s="149">
        <v>8.4496699999999994E-2</v>
      </c>
      <c r="E34" s="149">
        <v>0.16441500000000001</v>
      </c>
      <c r="F34" s="149">
        <v>0.1946215</v>
      </c>
      <c r="G34" s="149">
        <v>0.17242959999999999</v>
      </c>
      <c r="H34" s="149">
        <v>0.2352012</v>
      </c>
      <c r="I34" s="149">
        <v>0.12602340000000001</v>
      </c>
      <c r="J34" s="149">
        <v>1.47525E-2</v>
      </c>
      <c r="K34" s="149">
        <v>0.33879369999999998</v>
      </c>
      <c r="L34" s="149">
        <v>0.1234437</v>
      </c>
      <c r="M34" s="149">
        <v>0.27650089999999999</v>
      </c>
      <c r="N34" s="149">
        <v>0.2588763</v>
      </c>
      <c r="O34" s="149">
        <v>0.2428227</v>
      </c>
      <c r="P34" s="149">
        <v>0.33329730000000002</v>
      </c>
      <c r="Q34" s="149">
        <v>0.30051230000000001</v>
      </c>
      <c r="R34" s="149">
        <v>0.30040539999999999</v>
      </c>
      <c r="S34" s="149">
        <v>0.19060299999999999</v>
      </c>
      <c r="T34" s="149">
        <v>7.9575900000000005E-2</v>
      </c>
      <c r="U34" s="149">
        <v>0.4378899</v>
      </c>
      <c r="V34" s="149">
        <v>0.27820149999999999</v>
      </c>
      <c r="W34" s="149">
        <v>0.17630950000000001</v>
      </c>
      <c r="X34" s="149">
        <v>0.2769354</v>
      </c>
      <c r="Y34" s="149">
        <v>0.35945739999999998</v>
      </c>
      <c r="Z34" s="149">
        <v>0.2377765</v>
      </c>
      <c r="AA34" s="149">
        <v>0.15719469999999999</v>
      </c>
      <c r="AB34" s="149">
        <v>0.14310049999999999</v>
      </c>
      <c r="AC34" s="149">
        <v>0.27805239999999998</v>
      </c>
      <c r="AE34" s="98" t="s">
        <v>242</v>
      </c>
      <c r="AF34" s="99"/>
    </row>
    <row r="35" spans="1:32" ht="15.75" customHeight="1" x14ac:dyDescent="0.35">
      <c r="A35" s="111"/>
      <c r="B35" s="109" t="s">
        <v>5</v>
      </c>
      <c r="C35" s="149">
        <v>0.2376992</v>
      </c>
      <c r="D35" s="149">
        <v>0.1543805</v>
      </c>
      <c r="E35" s="149">
        <v>0.2320818</v>
      </c>
      <c r="F35" s="149">
        <v>0.31149169999999998</v>
      </c>
      <c r="G35" s="149">
        <v>0.2521582</v>
      </c>
      <c r="H35" s="149">
        <v>0.2324138</v>
      </c>
      <c r="I35" s="149">
        <v>0.22873650000000001</v>
      </c>
      <c r="J35" s="149">
        <v>0.24162919999999999</v>
      </c>
      <c r="K35" s="149">
        <v>0.26064690000000001</v>
      </c>
      <c r="L35" s="149">
        <v>0.2706054</v>
      </c>
      <c r="M35" s="149">
        <v>0.21108940000000001</v>
      </c>
      <c r="N35" s="149">
        <v>0.24054310000000001</v>
      </c>
      <c r="O35" s="149">
        <v>0.25094650000000002</v>
      </c>
      <c r="P35" s="149">
        <v>0.2165976</v>
      </c>
      <c r="Q35" s="149">
        <v>0.18402650000000001</v>
      </c>
      <c r="R35" s="149">
        <v>0.27692220000000001</v>
      </c>
      <c r="S35" s="149">
        <v>0.23970430000000001</v>
      </c>
      <c r="T35" s="149">
        <v>0.27447949999999999</v>
      </c>
      <c r="U35" s="149">
        <v>0.21984790000000001</v>
      </c>
      <c r="V35" s="149">
        <v>0.26146059999999999</v>
      </c>
      <c r="W35" s="149">
        <v>0.32410739999999999</v>
      </c>
      <c r="X35" s="149">
        <v>0.2485395</v>
      </c>
      <c r="Y35" s="149">
        <v>0.30487579999999997</v>
      </c>
      <c r="Z35" s="149">
        <v>0.1764666</v>
      </c>
      <c r="AA35" s="149">
        <v>0.20550360000000001</v>
      </c>
      <c r="AB35" s="149">
        <v>0.1999039</v>
      </c>
      <c r="AC35" s="149">
        <v>0.1931273</v>
      </c>
      <c r="AE35" s="98" t="s">
        <v>242</v>
      </c>
      <c r="AF35" s="99"/>
    </row>
    <row r="36" spans="1:32" ht="15.75" customHeight="1" x14ac:dyDescent="0.35">
      <c r="A36" s="111"/>
      <c r="B36" s="119" t="s">
        <v>119</v>
      </c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E36" s="98"/>
      <c r="AF36" s="99"/>
    </row>
    <row r="37" spans="1:32" ht="15.75" customHeight="1" x14ac:dyDescent="0.35">
      <c r="A37" s="111"/>
      <c r="B37" s="109" t="s">
        <v>1</v>
      </c>
      <c r="C37" s="149">
        <v>0.1750149</v>
      </c>
      <c r="D37" s="149">
        <v>0.24347949999999999</v>
      </c>
      <c r="E37" s="149">
        <v>0.22729969999999999</v>
      </c>
      <c r="F37" s="149">
        <v>0.1543851</v>
      </c>
      <c r="G37" s="149">
        <v>0.1481673</v>
      </c>
      <c r="H37" s="149">
        <v>0</v>
      </c>
      <c r="I37" s="149">
        <v>9.5844799999999994E-2</v>
      </c>
      <c r="J37" s="149">
        <v>0.1761528</v>
      </c>
      <c r="K37" s="149">
        <v>0.19694120000000001</v>
      </c>
      <c r="L37" s="149">
        <v>0.14000180000000001</v>
      </c>
      <c r="M37" s="149">
        <v>0.23375360000000001</v>
      </c>
      <c r="N37" s="149">
        <v>0.19573460000000001</v>
      </c>
      <c r="O37" s="149">
        <v>0.23283319999999999</v>
      </c>
      <c r="P37" s="149">
        <v>3.9490299999999999E-2</v>
      </c>
      <c r="Q37" s="149">
        <v>0.1381936</v>
      </c>
      <c r="R37" s="149">
        <v>0.1171401</v>
      </c>
      <c r="S37" s="149">
        <v>0.1298252</v>
      </c>
      <c r="T37" s="149">
        <v>0.19143959999999999</v>
      </c>
      <c r="U37" s="149">
        <v>0.31432589999999999</v>
      </c>
      <c r="V37" s="149">
        <v>0.19143779999999999</v>
      </c>
      <c r="W37" s="149">
        <v>0.1831072</v>
      </c>
      <c r="X37" s="149">
        <v>0.23314599999999999</v>
      </c>
      <c r="Y37" s="149">
        <v>4.4070900000000003E-2</v>
      </c>
      <c r="Z37" s="149">
        <v>2.5426600000000001E-2</v>
      </c>
      <c r="AA37" s="149">
        <v>4.44774E-2</v>
      </c>
      <c r="AB37" s="149">
        <v>7.0484099999999994E-2</v>
      </c>
      <c r="AC37" s="149">
        <v>0.26982660000000003</v>
      </c>
      <c r="AE37" s="98" t="s">
        <v>242</v>
      </c>
      <c r="AF37" s="99"/>
    </row>
    <row r="38" spans="1:32" ht="15.75" customHeight="1" x14ac:dyDescent="0.35">
      <c r="A38" s="111"/>
      <c r="B38" s="109" t="s">
        <v>2</v>
      </c>
      <c r="C38" s="149">
        <v>0.1750149</v>
      </c>
      <c r="D38" s="149">
        <v>0.24347949999999999</v>
      </c>
      <c r="E38" s="149">
        <v>0.22729969999999999</v>
      </c>
      <c r="F38" s="149">
        <v>0.1543851</v>
      </c>
      <c r="G38" s="149">
        <v>0.1481673</v>
      </c>
      <c r="H38" s="149">
        <v>0</v>
      </c>
      <c r="I38" s="149">
        <v>9.5844799999999994E-2</v>
      </c>
      <c r="J38" s="149">
        <v>0.1761528</v>
      </c>
      <c r="K38" s="149">
        <v>0.19694120000000001</v>
      </c>
      <c r="L38" s="149">
        <v>0.14000180000000001</v>
      </c>
      <c r="M38" s="149">
        <v>0.23375360000000001</v>
      </c>
      <c r="N38" s="149">
        <v>0.19573460000000001</v>
      </c>
      <c r="O38" s="149">
        <v>0.23283319999999999</v>
      </c>
      <c r="P38" s="149">
        <v>3.9490299999999999E-2</v>
      </c>
      <c r="Q38" s="149">
        <v>0.1381936</v>
      </c>
      <c r="R38" s="149">
        <v>0.1171401</v>
      </c>
      <c r="S38" s="149">
        <v>0.1298252</v>
      </c>
      <c r="T38" s="149">
        <v>0.19143959999999999</v>
      </c>
      <c r="U38" s="149">
        <v>0.31432589999999999</v>
      </c>
      <c r="V38" s="149">
        <v>0.19143779999999999</v>
      </c>
      <c r="W38" s="149">
        <v>0.1831072</v>
      </c>
      <c r="X38" s="149">
        <v>0.23314599999999999</v>
      </c>
      <c r="Y38" s="149">
        <v>4.4070900000000003E-2</v>
      </c>
      <c r="Z38" s="149">
        <v>2.5426600000000001E-2</v>
      </c>
      <c r="AA38" s="149">
        <v>4.44774E-2</v>
      </c>
      <c r="AB38" s="149">
        <v>7.0484099999999994E-2</v>
      </c>
      <c r="AC38" s="149">
        <v>0.26982660000000003</v>
      </c>
      <c r="AE38" s="98" t="s">
        <v>242</v>
      </c>
      <c r="AF38" s="99"/>
    </row>
    <row r="39" spans="1:32" ht="15.75" customHeight="1" x14ac:dyDescent="0.35">
      <c r="A39" s="111"/>
      <c r="B39" s="109" t="s">
        <v>3</v>
      </c>
      <c r="C39" s="149">
        <v>0.2135514</v>
      </c>
      <c r="D39" s="149">
        <v>0.17300789999999999</v>
      </c>
      <c r="E39" s="149">
        <v>0.17986269999999999</v>
      </c>
      <c r="F39" s="149">
        <v>0.35843629999999999</v>
      </c>
      <c r="G39" s="149">
        <v>8.6315299999999998E-2</v>
      </c>
      <c r="H39" s="149">
        <v>0.2632988</v>
      </c>
      <c r="I39" s="149">
        <v>3.1890399999999999E-2</v>
      </c>
      <c r="J39" s="149">
        <v>0.35429709999999998</v>
      </c>
      <c r="K39" s="149">
        <v>0.118295</v>
      </c>
      <c r="L39" s="149">
        <v>0.19955880000000001</v>
      </c>
      <c r="M39" s="149">
        <v>0.30330829999999998</v>
      </c>
      <c r="N39" s="149">
        <v>0.23443990000000001</v>
      </c>
      <c r="O39" s="149">
        <v>0.20072599999999999</v>
      </c>
      <c r="P39" s="149">
        <v>0.1551815</v>
      </c>
      <c r="Q39" s="149">
        <v>0.3176505</v>
      </c>
      <c r="R39" s="149">
        <v>0.13673859999999999</v>
      </c>
      <c r="S39" s="149">
        <v>0.30566969999999999</v>
      </c>
      <c r="T39" s="149">
        <v>0.29713509999999999</v>
      </c>
      <c r="U39" s="149">
        <v>0.13732839999999999</v>
      </c>
      <c r="V39" s="149">
        <v>0.2412029</v>
      </c>
      <c r="W39" s="149">
        <v>0.16386899999999999</v>
      </c>
      <c r="X39" s="149">
        <v>0.32718000000000003</v>
      </c>
      <c r="Y39" s="149">
        <v>0.16228290000000001</v>
      </c>
      <c r="Z39" s="149">
        <v>0.1051535</v>
      </c>
      <c r="AA39" s="149">
        <v>0.22636229999999999</v>
      </c>
      <c r="AB39" s="149">
        <v>0.25239099999999998</v>
      </c>
      <c r="AC39" s="149">
        <v>8.8806399999999994E-2</v>
      </c>
      <c r="AE39" s="98" t="s">
        <v>242</v>
      </c>
      <c r="AF39" s="99"/>
    </row>
    <row r="40" spans="1:32" ht="15.75" customHeight="1" x14ac:dyDescent="0.35">
      <c r="A40" s="111"/>
      <c r="B40" s="109" t="s">
        <v>4</v>
      </c>
      <c r="C40" s="149">
        <v>0.2528842</v>
      </c>
      <c r="D40" s="149">
        <v>0.19822409999999999</v>
      </c>
      <c r="E40" s="149">
        <v>0.27389829999999998</v>
      </c>
      <c r="F40" s="149">
        <v>0.25867230000000002</v>
      </c>
      <c r="G40" s="149">
        <v>0.15696579999999999</v>
      </c>
      <c r="H40" s="149">
        <v>0.21606739999999999</v>
      </c>
      <c r="I40" s="149">
        <v>0.42828379999999999</v>
      </c>
      <c r="J40" s="149">
        <v>0.38091160000000002</v>
      </c>
      <c r="K40" s="149">
        <v>0.160751</v>
      </c>
      <c r="L40" s="149">
        <v>0.2496003</v>
      </c>
      <c r="M40" s="149">
        <v>0.18618899999999999</v>
      </c>
      <c r="N40" s="149">
        <v>0.16750590000000001</v>
      </c>
      <c r="O40" s="149">
        <v>0.23067119999999999</v>
      </c>
      <c r="P40" s="149">
        <v>0.21284629999999999</v>
      </c>
      <c r="Q40" s="149">
        <v>0.17578959999999999</v>
      </c>
      <c r="R40" s="149">
        <v>0.13969509999999999</v>
      </c>
      <c r="S40" s="149">
        <v>0.17316200000000001</v>
      </c>
      <c r="T40" s="149">
        <v>0.32702490000000001</v>
      </c>
      <c r="U40" s="149">
        <v>0.1253785</v>
      </c>
      <c r="V40" s="149">
        <v>0.27861819999999998</v>
      </c>
      <c r="W40" s="149">
        <v>0.32592270000000001</v>
      </c>
      <c r="X40" s="149">
        <v>0.29234139999999997</v>
      </c>
      <c r="Y40" s="149">
        <v>0.2867673</v>
      </c>
      <c r="Z40" s="149">
        <v>0.30645129999999998</v>
      </c>
      <c r="AA40" s="149">
        <v>0.26299729999999999</v>
      </c>
      <c r="AB40" s="149">
        <v>0.16584119999999999</v>
      </c>
      <c r="AC40" s="149">
        <v>0.39237</v>
      </c>
      <c r="AE40" s="98" t="s">
        <v>242</v>
      </c>
      <c r="AF40" s="99"/>
    </row>
    <row r="41" spans="1:32" ht="15.75" customHeight="1" x14ac:dyDescent="0.35">
      <c r="A41" s="111"/>
      <c r="B41" s="109" t="s">
        <v>5</v>
      </c>
      <c r="C41" s="149">
        <v>0.219389</v>
      </c>
      <c r="D41" s="149">
        <v>0.2478783</v>
      </c>
      <c r="E41" s="149">
        <v>0.2173996</v>
      </c>
      <c r="F41" s="149">
        <v>0.26871200000000001</v>
      </c>
      <c r="G41" s="149">
        <v>0.24201529999999999</v>
      </c>
      <c r="H41" s="149">
        <v>0.19376060000000001</v>
      </c>
      <c r="I41" s="149">
        <v>0.20797930000000001</v>
      </c>
      <c r="J41" s="149">
        <v>0.17180709999999999</v>
      </c>
      <c r="K41" s="149">
        <v>0.26327139999999999</v>
      </c>
      <c r="L41" s="149">
        <v>0.19744690000000001</v>
      </c>
      <c r="M41" s="149">
        <v>0.214342</v>
      </c>
      <c r="N41" s="149">
        <v>0.17502139999999999</v>
      </c>
      <c r="O41" s="149">
        <v>0.1967824</v>
      </c>
      <c r="P41" s="149">
        <v>0.27985290000000002</v>
      </c>
      <c r="Q41" s="149">
        <v>0.2069163</v>
      </c>
      <c r="R41" s="149">
        <v>0.18095020000000001</v>
      </c>
      <c r="S41" s="149">
        <v>0.21688060000000001</v>
      </c>
      <c r="T41" s="149">
        <v>0.16781869999999999</v>
      </c>
      <c r="U41" s="149">
        <v>0.2865801</v>
      </c>
      <c r="V41" s="149">
        <v>0.1337914</v>
      </c>
      <c r="W41" s="149">
        <v>0.1792155</v>
      </c>
      <c r="X41" s="149">
        <v>0.19193440000000001</v>
      </c>
      <c r="Y41" s="149">
        <v>0.25534180000000001</v>
      </c>
      <c r="Z41" s="149">
        <v>0.2567624</v>
      </c>
      <c r="AA41" s="149">
        <v>0.31094620000000001</v>
      </c>
      <c r="AB41" s="149">
        <v>0.21488260000000001</v>
      </c>
      <c r="AC41" s="149">
        <v>0.2119685</v>
      </c>
      <c r="AE41" s="98" t="s">
        <v>242</v>
      </c>
      <c r="AF41" s="99"/>
    </row>
    <row r="42" spans="1:32" ht="15.75" customHeight="1" x14ac:dyDescent="0.35">
      <c r="A42" s="111"/>
      <c r="B42" s="107" t="s">
        <v>118</v>
      </c>
      <c r="C42" s="98"/>
      <c r="D42" s="98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E42" s="98"/>
      <c r="AF42" s="99"/>
    </row>
    <row r="43" spans="1:32" ht="15.75" customHeight="1" x14ac:dyDescent="0.35">
      <c r="A43" s="111"/>
      <c r="B43" s="109" t="s">
        <v>1</v>
      </c>
      <c r="C43" s="149">
        <v>0.67849267000000002</v>
      </c>
      <c r="D43" s="149">
        <v>0.66105499999999995</v>
      </c>
      <c r="E43" s="149">
        <v>0.56560960000000005</v>
      </c>
      <c r="F43" s="149">
        <v>0.79905899999999996</v>
      </c>
      <c r="G43" s="149">
        <v>0.8518327</v>
      </c>
      <c r="H43" s="149">
        <v>0.80848370000000003</v>
      </c>
      <c r="I43" s="149">
        <v>0.87198059999999999</v>
      </c>
      <c r="J43" s="149">
        <v>0.69055800000000001</v>
      </c>
      <c r="K43" s="149">
        <v>0.75275219999999998</v>
      </c>
      <c r="L43" s="149">
        <v>0.77852869999999996</v>
      </c>
      <c r="M43" s="149">
        <v>0.64348479999999997</v>
      </c>
      <c r="N43" s="149">
        <v>0.65926280000000004</v>
      </c>
      <c r="O43" s="149">
        <v>0.56795980000000001</v>
      </c>
      <c r="P43" s="149">
        <v>0.89613379999999998</v>
      </c>
      <c r="Q43" s="149">
        <v>0.83186009999999999</v>
      </c>
      <c r="R43" s="149">
        <v>0.57004889999999997</v>
      </c>
      <c r="S43" s="149">
        <v>0.71731529999999999</v>
      </c>
      <c r="T43" s="149">
        <v>0.52142379999999999</v>
      </c>
      <c r="U43" s="149">
        <v>0.54530610000000002</v>
      </c>
      <c r="V43" s="149">
        <v>0.66452160000000005</v>
      </c>
      <c r="W43" s="149">
        <v>0.61105129999999996</v>
      </c>
      <c r="X43" s="149">
        <v>0.59801320000000002</v>
      </c>
      <c r="Y43" s="149">
        <v>0.71207710000000002</v>
      </c>
      <c r="Z43" s="149">
        <v>0.73939909999999998</v>
      </c>
      <c r="AA43" s="149">
        <v>0.49303249999999998</v>
      </c>
      <c r="AB43" s="149">
        <v>0.77062379999999997</v>
      </c>
      <c r="AC43" s="149">
        <v>0.55182350000000002</v>
      </c>
      <c r="AE43" s="98" t="s">
        <v>242</v>
      </c>
      <c r="AF43" s="99"/>
    </row>
    <row r="44" spans="1:32" ht="15.75" customHeight="1" x14ac:dyDescent="0.35">
      <c r="A44" s="111"/>
      <c r="B44" s="109" t="s">
        <v>2</v>
      </c>
      <c r="C44" s="149">
        <v>0.67849267000000002</v>
      </c>
      <c r="D44" s="149">
        <v>0.66105499999999995</v>
      </c>
      <c r="E44" s="149">
        <v>0.56560960000000005</v>
      </c>
      <c r="F44" s="149">
        <v>0.79905899999999996</v>
      </c>
      <c r="G44" s="149">
        <v>0.8518327</v>
      </c>
      <c r="H44" s="149">
        <v>0.80848370000000003</v>
      </c>
      <c r="I44" s="149">
        <v>0.87198059999999999</v>
      </c>
      <c r="J44" s="149">
        <v>0.69055800000000001</v>
      </c>
      <c r="K44" s="149">
        <v>0.75275219999999998</v>
      </c>
      <c r="L44" s="149">
        <v>0.77852869999999996</v>
      </c>
      <c r="M44" s="149">
        <v>0.64348479999999997</v>
      </c>
      <c r="N44" s="149">
        <v>0.65926280000000004</v>
      </c>
      <c r="O44" s="149">
        <v>0.56795980000000001</v>
      </c>
      <c r="P44" s="149">
        <v>0.89613379999999998</v>
      </c>
      <c r="Q44" s="149">
        <v>0.83186009999999999</v>
      </c>
      <c r="R44" s="149">
        <v>0.57004889999999997</v>
      </c>
      <c r="S44" s="149">
        <v>0.71731529999999999</v>
      </c>
      <c r="T44" s="149">
        <v>0.52142379999999999</v>
      </c>
      <c r="U44" s="149">
        <v>0.54530610000000002</v>
      </c>
      <c r="V44" s="149">
        <v>0.66452160000000005</v>
      </c>
      <c r="W44" s="149">
        <v>0.61105129999999996</v>
      </c>
      <c r="X44" s="149">
        <v>0.59801320000000002</v>
      </c>
      <c r="Y44" s="149">
        <v>0.71207710000000002</v>
      </c>
      <c r="Z44" s="149">
        <v>0.73939909999999998</v>
      </c>
      <c r="AA44" s="149">
        <v>0.49303249999999998</v>
      </c>
      <c r="AB44" s="149">
        <v>0.77062379999999997</v>
      </c>
      <c r="AC44" s="149">
        <v>0.55182350000000002</v>
      </c>
      <c r="AE44" s="98" t="s">
        <v>242</v>
      </c>
      <c r="AF44" s="99"/>
    </row>
    <row r="45" spans="1:32" ht="15.75" customHeight="1" x14ac:dyDescent="0.35">
      <c r="A45" s="111"/>
      <c r="B45" s="109" t="s">
        <v>3</v>
      </c>
      <c r="C45" s="149">
        <v>0.55568709999999999</v>
      </c>
      <c r="D45" s="149">
        <v>0.80237950000000002</v>
      </c>
      <c r="E45" s="149">
        <v>0.52206989999999998</v>
      </c>
      <c r="F45" s="149">
        <v>0.48318460000000002</v>
      </c>
      <c r="G45" s="149">
        <v>0.91368470000000002</v>
      </c>
      <c r="H45" s="149">
        <v>0.47730309999999998</v>
      </c>
      <c r="I45" s="149">
        <v>0.94369990000000004</v>
      </c>
      <c r="J45" s="149">
        <v>0.46688099999999999</v>
      </c>
      <c r="K45" s="149">
        <v>0.71202149999999997</v>
      </c>
      <c r="L45" s="149">
        <v>0.7222307</v>
      </c>
      <c r="M45" s="149">
        <v>0.48154960000000002</v>
      </c>
      <c r="N45" s="149">
        <v>0.39166649999999997</v>
      </c>
      <c r="O45" s="149">
        <v>0.66852959999999995</v>
      </c>
      <c r="P45" s="149">
        <v>0.75192009999999998</v>
      </c>
      <c r="Q45" s="149">
        <v>0.35495480000000001</v>
      </c>
      <c r="R45" s="149">
        <v>0.57026509999999997</v>
      </c>
      <c r="S45" s="149">
        <v>0.48011520000000002</v>
      </c>
      <c r="T45" s="149">
        <v>0.51194189999999995</v>
      </c>
      <c r="U45" s="149">
        <v>0.59716329999999995</v>
      </c>
      <c r="V45" s="149">
        <v>0.3837429</v>
      </c>
      <c r="W45" s="149">
        <v>0.66516319999999995</v>
      </c>
      <c r="X45" s="149">
        <v>0.37005759999999999</v>
      </c>
      <c r="Y45" s="149">
        <v>0.74443610000000005</v>
      </c>
      <c r="Z45" s="149">
        <v>0.73622460000000001</v>
      </c>
      <c r="AA45" s="149">
        <v>0.42797350000000001</v>
      </c>
      <c r="AB45" s="149">
        <v>0.66404439999999998</v>
      </c>
      <c r="AC45" s="149">
        <v>0.20857220000000001</v>
      </c>
      <c r="AE45" s="98" t="s">
        <v>242</v>
      </c>
      <c r="AF45" s="99"/>
    </row>
    <row r="46" spans="1:32" ht="15.75" customHeight="1" x14ac:dyDescent="0.35">
      <c r="A46" s="111"/>
      <c r="B46" s="109" t="s">
        <v>4</v>
      </c>
      <c r="C46" s="149">
        <v>0.35664649999999998</v>
      </c>
      <c r="D46" s="149">
        <v>0.70178379999999996</v>
      </c>
      <c r="E46" s="149">
        <v>0.26575539999999997</v>
      </c>
      <c r="F46" s="149">
        <v>0.36179869999999997</v>
      </c>
      <c r="G46" s="149">
        <v>0.53755370000000002</v>
      </c>
      <c r="H46" s="149">
        <v>0.36995309999999998</v>
      </c>
      <c r="I46" s="149">
        <v>0.42374869999999998</v>
      </c>
      <c r="J46" s="149">
        <v>0.42450870000000002</v>
      </c>
      <c r="K46" s="149">
        <v>0.43282379999999998</v>
      </c>
      <c r="L46" s="149">
        <v>0.42337930000000001</v>
      </c>
      <c r="M46" s="149">
        <v>0.39770349999999999</v>
      </c>
      <c r="N46" s="149">
        <v>0.24918899999999999</v>
      </c>
      <c r="O46" s="149">
        <v>0.36412640000000002</v>
      </c>
      <c r="P46" s="149">
        <v>0.28845189999999998</v>
      </c>
      <c r="Q46" s="149">
        <v>0.35291489999999998</v>
      </c>
      <c r="R46" s="149">
        <v>0.38377879999999998</v>
      </c>
      <c r="S46" s="149">
        <v>0.45298949999999999</v>
      </c>
      <c r="T46" s="149">
        <v>0.36661769999999999</v>
      </c>
      <c r="U46" s="149">
        <v>0.24799389999999999</v>
      </c>
      <c r="V46" s="149">
        <v>0.20594309999999999</v>
      </c>
      <c r="W46" s="149">
        <v>0.35090009999999999</v>
      </c>
      <c r="X46" s="149">
        <v>0.19068940000000001</v>
      </c>
      <c r="Y46" s="149">
        <v>0.2496526</v>
      </c>
      <c r="Z46" s="149">
        <v>0.2023742</v>
      </c>
      <c r="AA46" s="149">
        <v>0.26438109999999998</v>
      </c>
      <c r="AB46" s="149">
        <v>0.47643600000000003</v>
      </c>
      <c r="AC46" s="149">
        <v>0.16391149999999999</v>
      </c>
      <c r="AE46" s="98" t="s">
        <v>242</v>
      </c>
      <c r="AF46" s="99"/>
    </row>
    <row r="47" spans="1:32" ht="15.75" customHeight="1" x14ac:dyDescent="0.35">
      <c r="A47" s="111"/>
      <c r="B47" s="109" t="s">
        <v>5</v>
      </c>
      <c r="C47" s="149">
        <v>0.25982620000000001</v>
      </c>
      <c r="D47" s="149">
        <v>0.51431700000000002</v>
      </c>
      <c r="E47" s="149">
        <v>0.23557910000000001</v>
      </c>
      <c r="F47" s="149">
        <v>0.2456885</v>
      </c>
      <c r="G47" s="149">
        <v>0.32763219999999998</v>
      </c>
      <c r="H47" s="149">
        <v>0.26215450000000001</v>
      </c>
      <c r="I47" s="149">
        <v>0.46742939999999999</v>
      </c>
      <c r="J47" s="149">
        <v>0.29912490000000003</v>
      </c>
      <c r="K47" s="149">
        <v>0.2069058</v>
      </c>
      <c r="L47" s="149">
        <v>0.25911820000000002</v>
      </c>
      <c r="M47" s="149">
        <v>0.21143380000000001</v>
      </c>
      <c r="N47" s="149">
        <v>0.12650429999999999</v>
      </c>
      <c r="O47" s="149">
        <v>0.1948841</v>
      </c>
      <c r="P47" s="149">
        <v>0.28779670000000002</v>
      </c>
      <c r="Q47" s="149">
        <v>0.17266989999999999</v>
      </c>
      <c r="R47" s="149">
        <v>0.2416121</v>
      </c>
      <c r="S47" s="149">
        <v>0.27562880000000001</v>
      </c>
      <c r="T47" s="149">
        <v>0.18645790000000001</v>
      </c>
      <c r="U47" s="149">
        <v>0.27440399999999998</v>
      </c>
      <c r="V47" s="149">
        <v>0.24701909999999999</v>
      </c>
      <c r="W47" s="149">
        <v>0.24709429999999999</v>
      </c>
      <c r="X47" s="149">
        <v>0.18622759999999999</v>
      </c>
      <c r="Y47" s="149">
        <v>0.25465359999999998</v>
      </c>
      <c r="Z47" s="149">
        <v>0.27600599999999997</v>
      </c>
      <c r="AA47" s="149">
        <v>0.24053769999999999</v>
      </c>
      <c r="AB47" s="149">
        <v>0.25434960000000001</v>
      </c>
      <c r="AC47" s="149">
        <v>0.1977303</v>
      </c>
      <c r="AE47" s="98" t="s">
        <v>242</v>
      </c>
      <c r="AF47" s="99"/>
    </row>
    <row r="48" spans="1:32" ht="15.75" customHeight="1" x14ac:dyDescent="0.35">
      <c r="A48" s="111"/>
      <c r="B48" s="109"/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97"/>
      <c r="AB48" s="97"/>
      <c r="AC48" s="97"/>
      <c r="AE48" s="98"/>
      <c r="AF48" s="99"/>
    </row>
    <row r="49" spans="1:32" ht="15.75" customHeight="1" x14ac:dyDescent="0.35">
      <c r="A49" s="111"/>
      <c r="B49" s="112"/>
      <c r="C49" s="98"/>
      <c r="D49" s="19"/>
      <c r="E49" s="19"/>
      <c r="F49" s="19"/>
      <c r="G49" s="19"/>
      <c r="H49" s="19"/>
      <c r="I49" s="98"/>
      <c r="J49" s="98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98"/>
      <c r="AA49" s="98"/>
      <c r="AB49" s="98"/>
      <c r="AC49" s="98"/>
      <c r="AE49" s="98"/>
      <c r="AF49" s="99"/>
    </row>
    <row r="50" spans="1:32" ht="15.75" customHeight="1" x14ac:dyDescent="0.35">
      <c r="A50" s="126" t="s">
        <v>269</v>
      </c>
      <c r="B50" s="113" t="s">
        <v>115</v>
      </c>
      <c r="C50" s="98"/>
      <c r="D50" s="19"/>
      <c r="E50" s="19"/>
      <c r="F50" s="19"/>
      <c r="G50" s="19"/>
      <c r="H50" s="19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  <c r="AA50" s="98"/>
      <c r="AB50" s="98"/>
      <c r="AC50" s="98"/>
      <c r="AE50" s="98"/>
      <c r="AF50" s="99"/>
    </row>
    <row r="51" spans="1:32" ht="15.75" customHeight="1" x14ac:dyDescent="0.35">
      <c r="A51" s="106"/>
      <c r="B51" s="119" t="s">
        <v>120</v>
      </c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98"/>
      <c r="AA51" s="98"/>
      <c r="AB51" s="98"/>
      <c r="AC51" s="98"/>
      <c r="AE51" s="98"/>
      <c r="AF51" s="99"/>
    </row>
    <row r="52" spans="1:32" ht="15.75" customHeight="1" x14ac:dyDescent="0.35">
      <c r="A52" s="106"/>
      <c r="B52" s="109" t="s">
        <v>1</v>
      </c>
      <c r="C52" s="149">
        <v>4.6939740000000001E-2</v>
      </c>
      <c r="D52" s="149">
        <v>2.1696099999999999E-2</v>
      </c>
      <c r="E52" s="149">
        <v>1.82807E-2</v>
      </c>
      <c r="F52" s="149">
        <v>5.1323999999999996E-3</v>
      </c>
      <c r="G52" s="149">
        <v>7.8400200000000003E-2</v>
      </c>
      <c r="H52" s="149">
        <v>9.2863299999999996E-2</v>
      </c>
      <c r="I52" s="149">
        <v>0</v>
      </c>
      <c r="J52" s="149">
        <v>2.9368499999999999E-2</v>
      </c>
      <c r="K52" s="149">
        <v>0</v>
      </c>
      <c r="L52" s="149">
        <v>7.3268299999999995E-2</v>
      </c>
      <c r="M52" s="149">
        <v>2.0202899999999999E-2</v>
      </c>
      <c r="N52" s="149">
        <v>0</v>
      </c>
      <c r="O52" s="149">
        <v>1.9128099999999999E-2</v>
      </c>
      <c r="P52" s="149">
        <v>0.1484143</v>
      </c>
      <c r="Q52" s="149">
        <v>4.4527200000000003E-2</v>
      </c>
      <c r="R52" s="149">
        <v>9.4591300000000003E-2</v>
      </c>
      <c r="S52" s="149">
        <v>2.8679400000000001E-2</v>
      </c>
      <c r="T52" s="149">
        <v>5.2426300000000002E-2</v>
      </c>
      <c r="U52" s="149">
        <v>1.7117500000000001E-2</v>
      </c>
      <c r="V52" s="149">
        <v>9.6416600000000005E-2</v>
      </c>
      <c r="W52" s="149">
        <v>0.16522410000000001</v>
      </c>
      <c r="X52" s="149">
        <v>3.9693399999999997E-2</v>
      </c>
      <c r="Y52" s="149">
        <v>6.0967899999999998E-2</v>
      </c>
      <c r="Z52" s="149">
        <v>3.4844E-2</v>
      </c>
      <c r="AA52" s="149">
        <v>0.16686219999999999</v>
      </c>
      <c r="AB52" s="149">
        <v>0</v>
      </c>
      <c r="AC52" s="149">
        <v>2.4905E-2</v>
      </c>
      <c r="AE52" s="98" t="s">
        <v>242</v>
      </c>
      <c r="AF52" s="99"/>
    </row>
    <row r="53" spans="1:32" ht="15.75" customHeight="1" x14ac:dyDescent="0.35">
      <c r="A53" s="106"/>
      <c r="B53" s="109" t="s">
        <v>2</v>
      </c>
      <c r="C53" s="149">
        <v>4.6939740000000001E-2</v>
      </c>
      <c r="D53" s="149">
        <v>2.1696099999999999E-2</v>
      </c>
      <c r="E53" s="149">
        <v>1.82807E-2</v>
      </c>
      <c r="F53" s="149">
        <v>5.1323999999999996E-3</v>
      </c>
      <c r="G53" s="149">
        <v>7.8400200000000003E-2</v>
      </c>
      <c r="H53" s="149">
        <v>9.2863299999999996E-2</v>
      </c>
      <c r="I53" s="149">
        <v>0</v>
      </c>
      <c r="J53" s="149">
        <v>2.9368499999999999E-2</v>
      </c>
      <c r="K53" s="149">
        <v>0</v>
      </c>
      <c r="L53" s="149">
        <v>7.3268299999999995E-2</v>
      </c>
      <c r="M53" s="149">
        <v>2.0202899999999999E-2</v>
      </c>
      <c r="N53" s="149">
        <v>0</v>
      </c>
      <c r="O53" s="149">
        <v>1.9128099999999999E-2</v>
      </c>
      <c r="P53" s="149">
        <v>0.1484143</v>
      </c>
      <c r="Q53" s="149">
        <v>4.4527200000000003E-2</v>
      </c>
      <c r="R53" s="149">
        <v>9.4591300000000003E-2</v>
      </c>
      <c r="S53" s="149">
        <v>2.8679400000000001E-2</v>
      </c>
      <c r="T53" s="149">
        <v>5.2426300000000002E-2</v>
      </c>
      <c r="U53" s="149">
        <v>1.7117500000000001E-2</v>
      </c>
      <c r="V53" s="149">
        <v>9.6416600000000005E-2</v>
      </c>
      <c r="W53" s="149">
        <v>0.16522410000000001</v>
      </c>
      <c r="X53" s="149">
        <v>3.9693399999999997E-2</v>
      </c>
      <c r="Y53" s="149">
        <v>6.0967899999999998E-2</v>
      </c>
      <c r="Z53" s="149">
        <v>3.4844E-2</v>
      </c>
      <c r="AA53" s="149">
        <v>0.16686219999999999</v>
      </c>
      <c r="AB53" s="149">
        <v>0</v>
      </c>
      <c r="AC53" s="149">
        <v>2.4905E-2</v>
      </c>
      <c r="AE53" s="98" t="s">
        <v>242</v>
      </c>
      <c r="AF53" s="99"/>
    </row>
    <row r="54" spans="1:32" ht="15.75" customHeight="1" x14ac:dyDescent="0.35">
      <c r="A54" s="106"/>
      <c r="B54" s="109" t="s">
        <v>3</v>
      </c>
      <c r="C54" s="149">
        <v>3.9438500000000001E-2</v>
      </c>
      <c r="D54" s="149">
        <v>0</v>
      </c>
      <c r="E54" s="149">
        <v>5.5310600000000001E-2</v>
      </c>
      <c r="F54" s="149">
        <v>1.38908E-2</v>
      </c>
      <c r="G54" s="149">
        <v>0.2214545</v>
      </c>
      <c r="H54" s="149">
        <v>2.6858099999999999E-2</v>
      </c>
      <c r="I54" s="149">
        <v>2.4409699999999999E-2</v>
      </c>
      <c r="J54" s="149">
        <v>5.7228399999999999E-2</v>
      </c>
      <c r="K54" s="149">
        <v>1.2591E-2</v>
      </c>
      <c r="L54" s="149">
        <v>2.6203500000000001E-2</v>
      </c>
      <c r="M54" s="149">
        <v>0</v>
      </c>
      <c r="N54" s="149">
        <v>2.10622E-2</v>
      </c>
      <c r="O54" s="149">
        <v>0</v>
      </c>
      <c r="P54" s="149">
        <v>2.29053E-2</v>
      </c>
      <c r="Q54" s="149">
        <v>4.87053E-2</v>
      </c>
      <c r="R54" s="149">
        <v>0</v>
      </c>
      <c r="S54" s="149">
        <v>5.6901199999999999E-2</v>
      </c>
      <c r="T54" s="149">
        <v>9.0355999999999995E-3</v>
      </c>
      <c r="U54" s="149">
        <v>6.7956500000000003E-2</v>
      </c>
      <c r="V54" s="149">
        <v>5.9558399999999997E-2</v>
      </c>
      <c r="W54" s="149">
        <v>4.9919900000000003E-2</v>
      </c>
      <c r="X54" s="149">
        <v>0</v>
      </c>
      <c r="Y54" s="149">
        <v>0</v>
      </c>
      <c r="Z54" s="149">
        <v>2.9713900000000001E-2</v>
      </c>
      <c r="AA54" s="149">
        <v>7.7326900000000004E-2</v>
      </c>
      <c r="AB54" s="149">
        <v>0</v>
      </c>
      <c r="AC54" s="149">
        <v>5.2255799999999998E-2</v>
      </c>
      <c r="AE54" s="98" t="s">
        <v>242</v>
      </c>
      <c r="AF54" s="99"/>
    </row>
    <row r="55" spans="1:32" ht="15.75" customHeight="1" x14ac:dyDescent="0.35">
      <c r="A55" s="106"/>
      <c r="B55" s="109" t="s">
        <v>4</v>
      </c>
      <c r="C55" s="149">
        <v>2.5376200000000002E-2</v>
      </c>
      <c r="D55" s="149">
        <v>8.8579000000000001E-3</v>
      </c>
      <c r="E55" s="149">
        <v>0.11426</v>
      </c>
      <c r="F55" s="149">
        <v>6.4041000000000002E-3</v>
      </c>
      <c r="G55" s="149">
        <v>6.8043999999999993E-2</v>
      </c>
      <c r="H55" s="149">
        <v>3.4742099999999998E-2</v>
      </c>
      <c r="I55" s="149">
        <v>6.2610000000000001E-3</v>
      </c>
      <c r="J55" s="149">
        <v>3.2953999999999997E-2</v>
      </c>
      <c r="K55" s="149">
        <v>1.8903099999999999E-2</v>
      </c>
      <c r="L55" s="149">
        <v>5.4063999999999996E-3</v>
      </c>
      <c r="M55" s="149">
        <v>4.8997699999999998E-2</v>
      </c>
      <c r="N55" s="149">
        <v>7.24828E-2</v>
      </c>
      <c r="O55" s="149">
        <v>0</v>
      </c>
      <c r="P55" s="149">
        <v>2.7254899999999999E-2</v>
      </c>
      <c r="Q55" s="149">
        <v>8.7475000000000001E-3</v>
      </c>
      <c r="R55" s="149">
        <v>6.8748900000000002E-2</v>
      </c>
      <c r="S55" s="149">
        <v>0</v>
      </c>
      <c r="T55" s="149">
        <v>3.7163399999999999E-2</v>
      </c>
      <c r="U55" s="149">
        <v>9.9950000000000004E-3</v>
      </c>
      <c r="V55" s="149">
        <v>1.29734E-2</v>
      </c>
      <c r="W55" s="149">
        <v>3.0466699999999999E-2</v>
      </c>
      <c r="X55" s="149">
        <v>1.6219600000000001E-2</v>
      </c>
      <c r="Y55" s="149">
        <v>0</v>
      </c>
      <c r="Z55" s="149">
        <v>1.38992E-2</v>
      </c>
      <c r="AA55" s="149">
        <v>3.51606E-2</v>
      </c>
      <c r="AB55" s="149">
        <v>0</v>
      </c>
      <c r="AC55" s="149">
        <v>1.1391399999999999E-2</v>
      </c>
      <c r="AE55" s="98" t="s">
        <v>242</v>
      </c>
      <c r="AF55" s="99"/>
    </row>
    <row r="56" spans="1:32" ht="15.75" customHeight="1" x14ac:dyDescent="0.35">
      <c r="A56" s="106"/>
      <c r="B56" s="109" t="s">
        <v>5</v>
      </c>
      <c r="C56" s="149">
        <v>2.0858499999999999E-2</v>
      </c>
      <c r="D56" s="149">
        <v>4.5776000000000002E-3</v>
      </c>
      <c r="E56" s="149">
        <v>2.1264100000000001E-2</v>
      </c>
      <c r="F56" s="149">
        <v>1.43004E-2</v>
      </c>
      <c r="G56" s="149">
        <v>2.8297300000000001E-2</v>
      </c>
      <c r="H56" s="149">
        <v>1.9164500000000001E-2</v>
      </c>
      <c r="I56" s="149">
        <v>4.6103999999999997E-3</v>
      </c>
      <c r="J56" s="149">
        <v>1.7415199999999999E-2</v>
      </c>
      <c r="K56" s="149">
        <v>0</v>
      </c>
      <c r="L56" s="149">
        <v>1.31121E-2</v>
      </c>
      <c r="M56" s="149">
        <v>1.64522E-2</v>
      </c>
      <c r="N56" s="149">
        <v>1.7325000000000001E-3</v>
      </c>
      <c r="O56" s="149">
        <v>8.1989000000000003E-3</v>
      </c>
      <c r="P56" s="149">
        <v>1.34687E-2</v>
      </c>
      <c r="Q56" s="149">
        <v>6.6230999999999998E-3</v>
      </c>
      <c r="R56" s="149">
        <v>2.66343E-2</v>
      </c>
      <c r="S56" s="149">
        <v>3.6852999999999999E-3</v>
      </c>
      <c r="T56" s="149">
        <v>3.5063999999999998E-3</v>
      </c>
      <c r="U56" s="149">
        <v>3.3493299999999997E-2</v>
      </c>
      <c r="V56" s="149">
        <v>2.8399000000000001E-2</v>
      </c>
      <c r="W56" s="149">
        <v>8.6297399999999996E-2</v>
      </c>
      <c r="X56" s="149">
        <v>1.45512E-2</v>
      </c>
      <c r="Y56" s="149">
        <v>2.54367E-2</v>
      </c>
      <c r="Z56" s="149">
        <v>5.1119499999999998E-2</v>
      </c>
      <c r="AA56" s="149">
        <v>7.1697800000000006E-2</v>
      </c>
      <c r="AB56" s="149">
        <v>3.8084E-2</v>
      </c>
      <c r="AC56" s="149">
        <v>3.2848200000000001E-2</v>
      </c>
      <c r="AE56" s="98" t="s">
        <v>242</v>
      </c>
      <c r="AF56" s="99"/>
    </row>
    <row r="57" spans="1:32" ht="15.75" customHeight="1" x14ac:dyDescent="0.35">
      <c r="A57" s="111"/>
      <c r="B57" s="119" t="s">
        <v>117</v>
      </c>
      <c r="C57" s="98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98"/>
      <c r="AA57" s="98"/>
      <c r="AB57" s="98"/>
      <c r="AC57" s="98"/>
      <c r="AE57" s="98"/>
      <c r="AF57" s="99"/>
    </row>
    <row r="58" spans="1:32" ht="15.75" customHeight="1" x14ac:dyDescent="0.35">
      <c r="A58" s="111"/>
      <c r="B58" s="109" t="s">
        <v>1</v>
      </c>
      <c r="C58" s="149">
        <v>7.5936340000000005E-2</v>
      </c>
      <c r="D58" s="149">
        <v>5.39964E-2</v>
      </c>
      <c r="E58" s="149">
        <v>0.16336010000000001</v>
      </c>
      <c r="F58" s="149">
        <v>1.8030600000000001E-2</v>
      </c>
      <c r="G58" s="149">
        <v>0.32907180000000003</v>
      </c>
      <c r="H58" s="149">
        <v>4.9840099999999998E-2</v>
      </c>
      <c r="I58" s="149">
        <v>0</v>
      </c>
      <c r="J58" s="149">
        <v>5.9986400000000002E-2</v>
      </c>
      <c r="K58" s="149">
        <v>4.6064500000000001E-2</v>
      </c>
      <c r="L58" s="149">
        <v>4.5146400000000003E-2</v>
      </c>
      <c r="M58" s="149">
        <v>0.2109067</v>
      </c>
      <c r="N58" s="149">
        <v>2.46345E-2</v>
      </c>
      <c r="O58" s="149">
        <v>0.17349129999999999</v>
      </c>
      <c r="P58" s="149">
        <v>2.07046E-2</v>
      </c>
      <c r="Q58" s="149">
        <v>0</v>
      </c>
      <c r="R58" s="149">
        <v>0.15725529999999999</v>
      </c>
      <c r="S58" s="149">
        <v>2.70151E-2</v>
      </c>
      <c r="T58" s="149">
        <v>0.14116719999999999</v>
      </c>
      <c r="U58" s="149">
        <v>1.7117500000000001E-2</v>
      </c>
      <c r="V58" s="149">
        <v>3.8370599999999998E-2</v>
      </c>
      <c r="W58" s="149">
        <v>7.4484900000000007E-2</v>
      </c>
      <c r="X58" s="149">
        <v>7.1894600000000003E-2</v>
      </c>
      <c r="Y58" s="149">
        <v>5.2884999999999998E-3</v>
      </c>
      <c r="Z58" s="149">
        <v>6.8019099999999999E-2</v>
      </c>
      <c r="AA58" s="149">
        <v>0</v>
      </c>
      <c r="AB58" s="149">
        <v>8.0098900000000001E-2</v>
      </c>
      <c r="AC58" s="149">
        <v>0.14861240000000001</v>
      </c>
      <c r="AE58" s="98" t="s">
        <v>242</v>
      </c>
      <c r="AF58" s="99"/>
    </row>
    <row r="59" spans="1:32" ht="15.75" customHeight="1" x14ac:dyDescent="0.35">
      <c r="A59" s="111"/>
      <c r="B59" s="109" t="s">
        <v>2</v>
      </c>
      <c r="C59" s="149">
        <v>7.5936340000000005E-2</v>
      </c>
      <c r="D59" s="149">
        <v>5.39964E-2</v>
      </c>
      <c r="E59" s="149">
        <v>0.16336010000000001</v>
      </c>
      <c r="F59" s="149">
        <v>1.8030600000000001E-2</v>
      </c>
      <c r="G59" s="149">
        <v>0.32907180000000003</v>
      </c>
      <c r="H59" s="149">
        <v>4.9840099999999998E-2</v>
      </c>
      <c r="I59" s="149">
        <v>0</v>
      </c>
      <c r="J59" s="149">
        <v>5.9986400000000002E-2</v>
      </c>
      <c r="K59" s="149">
        <v>4.6064500000000001E-2</v>
      </c>
      <c r="L59" s="149">
        <v>4.5146400000000003E-2</v>
      </c>
      <c r="M59" s="149">
        <v>0.2109067</v>
      </c>
      <c r="N59" s="149">
        <v>2.46345E-2</v>
      </c>
      <c r="O59" s="149">
        <v>0.17349129999999999</v>
      </c>
      <c r="P59" s="149">
        <v>2.07046E-2</v>
      </c>
      <c r="Q59" s="149">
        <v>0</v>
      </c>
      <c r="R59" s="149">
        <v>0.15725529999999999</v>
      </c>
      <c r="S59" s="149">
        <v>2.70151E-2</v>
      </c>
      <c r="T59" s="149">
        <v>0.14116719999999999</v>
      </c>
      <c r="U59" s="149">
        <v>1.7117500000000001E-2</v>
      </c>
      <c r="V59" s="149">
        <v>3.8370599999999998E-2</v>
      </c>
      <c r="W59" s="149">
        <v>7.4484900000000007E-2</v>
      </c>
      <c r="X59" s="149">
        <v>7.1894600000000003E-2</v>
      </c>
      <c r="Y59" s="149">
        <v>5.2884999999999998E-3</v>
      </c>
      <c r="Z59" s="149">
        <v>6.8019099999999999E-2</v>
      </c>
      <c r="AA59" s="149">
        <v>0</v>
      </c>
      <c r="AB59" s="149">
        <v>8.0098900000000001E-2</v>
      </c>
      <c r="AC59" s="149">
        <v>0.14861240000000001</v>
      </c>
      <c r="AE59" s="98" t="s">
        <v>242</v>
      </c>
      <c r="AF59" s="99"/>
    </row>
    <row r="60" spans="1:32" ht="15.75" customHeight="1" x14ac:dyDescent="0.35">
      <c r="A60" s="111"/>
      <c r="B60" s="109" t="s">
        <v>3</v>
      </c>
      <c r="C60" s="149">
        <v>7.8411599999999998E-2</v>
      </c>
      <c r="D60" s="149">
        <v>6.9615200000000002E-2</v>
      </c>
      <c r="E60" s="149">
        <v>0.15906809999999999</v>
      </c>
      <c r="F60" s="149">
        <v>6.4029900000000001E-2</v>
      </c>
      <c r="G60" s="149">
        <v>0.32907180000000003</v>
      </c>
      <c r="H60" s="149">
        <v>4.9840099999999998E-2</v>
      </c>
      <c r="I60" s="149">
        <v>0.1059508</v>
      </c>
      <c r="J60" s="149">
        <v>3.1321099999999998E-2</v>
      </c>
      <c r="K60" s="149">
        <v>0</v>
      </c>
      <c r="L60" s="149">
        <v>8.0215300000000003E-2</v>
      </c>
      <c r="M60" s="149">
        <v>4.9738900000000003E-2</v>
      </c>
      <c r="N60" s="149">
        <v>0.16230530000000001</v>
      </c>
      <c r="O60" s="149">
        <v>7.8007000000000007E-2</v>
      </c>
      <c r="P60" s="149">
        <v>2.07046E-2</v>
      </c>
      <c r="Q60" s="149">
        <v>0.1038893</v>
      </c>
      <c r="R60" s="149">
        <v>3.6749299999999999E-2</v>
      </c>
      <c r="S60" s="149">
        <v>0</v>
      </c>
      <c r="T60" s="149">
        <v>0.14625360000000001</v>
      </c>
      <c r="U60" s="149">
        <v>0.1185498</v>
      </c>
      <c r="V60" s="149">
        <v>4.9320099999999999E-2</v>
      </c>
      <c r="W60" s="149">
        <v>0.15941949999999999</v>
      </c>
      <c r="X60" s="149">
        <v>0</v>
      </c>
      <c r="Y60" s="149">
        <v>7.8817300000000007E-2</v>
      </c>
      <c r="Z60" s="149">
        <v>3.70541E-2</v>
      </c>
      <c r="AA60" s="149">
        <v>4.1403200000000001E-2</v>
      </c>
      <c r="AB60" s="149">
        <v>4.5932199999999999E-2</v>
      </c>
      <c r="AC60" s="149">
        <v>0</v>
      </c>
      <c r="AE60" s="98" t="s">
        <v>242</v>
      </c>
      <c r="AF60" s="99"/>
    </row>
    <row r="61" spans="1:32" ht="15.75" customHeight="1" x14ac:dyDescent="0.35">
      <c r="A61" s="111"/>
      <c r="B61" s="109" t="s">
        <v>4</v>
      </c>
      <c r="C61" s="149">
        <v>5.7895599999999998E-2</v>
      </c>
      <c r="D61" s="149">
        <v>3.2284199999999999E-2</v>
      </c>
      <c r="E61" s="149">
        <v>1.6252900000000001E-2</v>
      </c>
      <c r="F61" s="149">
        <v>6.0698700000000001E-2</v>
      </c>
      <c r="G61" s="149">
        <v>3.2696299999999998E-2</v>
      </c>
      <c r="H61" s="149">
        <v>0.1387864</v>
      </c>
      <c r="I61" s="149">
        <v>5.3279199999999999E-2</v>
      </c>
      <c r="J61" s="149">
        <v>1.46318E-2</v>
      </c>
      <c r="K61" s="149">
        <v>6.0502500000000001E-2</v>
      </c>
      <c r="L61" s="149">
        <v>7.9449500000000006E-2</v>
      </c>
      <c r="M61" s="149">
        <v>5.5811100000000002E-2</v>
      </c>
      <c r="N61" s="149">
        <v>2.4968500000000001E-2</v>
      </c>
      <c r="O61" s="149">
        <v>7.3364100000000002E-2</v>
      </c>
      <c r="P61" s="149">
        <v>6.2804700000000005E-2</v>
      </c>
      <c r="Q61" s="149">
        <v>5.6559100000000001E-2</v>
      </c>
      <c r="R61" s="149">
        <v>6.3479099999999997E-2</v>
      </c>
      <c r="S61" s="149">
        <v>0.1208779</v>
      </c>
      <c r="T61" s="149">
        <v>8.0939899999999995E-2</v>
      </c>
      <c r="U61" s="149">
        <v>5.6779499999999997E-2</v>
      </c>
      <c r="V61" s="149">
        <v>7.6216699999999998E-2</v>
      </c>
      <c r="W61" s="149">
        <v>0.1226093</v>
      </c>
      <c r="X61" s="149">
        <v>4.2770200000000001E-2</v>
      </c>
      <c r="Y61" s="149">
        <v>1.74565E-2</v>
      </c>
      <c r="Z61" s="149">
        <v>6.0809700000000001E-2</v>
      </c>
      <c r="AA61" s="149">
        <v>2.2558000000000002E-2</v>
      </c>
      <c r="AB61" s="149">
        <v>3.1540699999999998E-2</v>
      </c>
      <c r="AC61" s="149">
        <v>6.9755200000000003E-2</v>
      </c>
      <c r="AE61" s="98" t="s">
        <v>242</v>
      </c>
      <c r="AF61" s="99"/>
    </row>
    <row r="62" spans="1:32" ht="15.75" customHeight="1" x14ac:dyDescent="0.35">
      <c r="A62" s="111"/>
      <c r="B62" s="109" t="s">
        <v>5</v>
      </c>
      <c r="C62" s="149">
        <v>4.2088800000000003E-2</v>
      </c>
      <c r="D62" s="149">
        <v>1.52313E-2</v>
      </c>
      <c r="E62" s="149">
        <v>5.9113899999999997E-2</v>
      </c>
      <c r="F62" s="149">
        <v>4.7654000000000002E-2</v>
      </c>
      <c r="G62" s="149">
        <v>2.6497300000000001E-2</v>
      </c>
      <c r="H62" s="149">
        <v>6.8877800000000003E-2</v>
      </c>
      <c r="I62" s="149">
        <v>2.6930699999999998E-2</v>
      </c>
      <c r="J62" s="149">
        <v>3.0120399999999999E-2</v>
      </c>
      <c r="K62" s="149">
        <v>3.9577899999999999E-2</v>
      </c>
      <c r="L62" s="149">
        <v>2.7710499999999999E-2</v>
      </c>
      <c r="M62" s="149">
        <v>5.97443E-2</v>
      </c>
      <c r="N62" s="149">
        <v>7.4525900000000006E-2</v>
      </c>
      <c r="O62" s="149">
        <v>2.1949400000000001E-2</v>
      </c>
      <c r="P62" s="149">
        <v>4.5002300000000002E-2</v>
      </c>
      <c r="Q62" s="149">
        <v>4.8362700000000002E-2</v>
      </c>
      <c r="R62" s="149">
        <v>3.0952400000000001E-2</v>
      </c>
      <c r="S62" s="149">
        <v>4.1053300000000001E-2</v>
      </c>
      <c r="T62" s="149">
        <v>6.7341799999999993E-2</v>
      </c>
      <c r="U62" s="149">
        <v>6.8849499999999994E-2</v>
      </c>
      <c r="V62" s="149">
        <v>7.5945499999999999E-2</v>
      </c>
      <c r="W62" s="149">
        <v>0.1553379</v>
      </c>
      <c r="X62" s="149">
        <v>1.97313E-2</v>
      </c>
      <c r="Y62" s="149">
        <v>4.76462E-2</v>
      </c>
      <c r="Z62" s="149">
        <v>2.3364200000000002E-2</v>
      </c>
      <c r="AA62" s="149">
        <v>8.9137999999999995E-3</v>
      </c>
      <c r="AB62" s="149">
        <v>3.5338000000000001E-2</v>
      </c>
      <c r="AC62" s="149">
        <v>1.9489200000000002E-2</v>
      </c>
      <c r="AE62" s="98" t="s">
        <v>242</v>
      </c>
      <c r="AF62" s="99"/>
    </row>
    <row r="63" spans="1:32" ht="15.75" customHeight="1" x14ac:dyDescent="0.35">
      <c r="A63" s="111"/>
      <c r="B63" s="119" t="s">
        <v>119</v>
      </c>
      <c r="C63" s="98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98"/>
      <c r="R63" s="98"/>
      <c r="S63" s="98"/>
      <c r="T63" s="98"/>
      <c r="U63" s="98"/>
      <c r="V63" s="98"/>
      <c r="W63" s="98"/>
      <c r="X63" s="98"/>
      <c r="Y63" s="98"/>
      <c r="Z63" s="98"/>
      <c r="AA63" s="98"/>
      <c r="AB63" s="98"/>
      <c r="AC63" s="98"/>
      <c r="AE63" s="98"/>
      <c r="AF63" s="99"/>
    </row>
    <row r="64" spans="1:32" ht="15.75" customHeight="1" x14ac:dyDescent="0.35">
      <c r="A64" s="111"/>
      <c r="B64" s="109" t="s">
        <v>1</v>
      </c>
      <c r="C64" s="149">
        <v>0.16006421000000001</v>
      </c>
      <c r="D64" s="149">
        <v>0.20382040000000001</v>
      </c>
      <c r="E64" s="149">
        <v>0.1421558</v>
      </c>
      <c r="F64" s="149">
        <v>0.1390033</v>
      </c>
      <c r="G64" s="149">
        <v>0.15745690000000001</v>
      </c>
      <c r="H64" s="149">
        <v>0.19672780000000001</v>
      </c>
      <c r="I64" s="149">
        <v>0.26541989999999999</v>
      </c>
      <c r="J64" s="149">
        <v>0.21912490000000001</v>
      </c>
      <c r="K64" s="149">
        <v>4.4073800000000003E-2</v>
      </c>
      <c r="L64" s="149">
        <v>0.13748540000000001</v>
      </c>
      <c r="M64" s="149">
        <v>0.189697</v>
      </c>
      <c r="N64" s="149">
        <v>5.76838E-2</v>
      </c>
      <c r="O64" s="149">
        <v>0.1306901</v>
      </c>
      <c r="P64" s="149">
        <v>0.16648019999999999</v>
      </c>
      <c r="Q64" s="149">
        <v>0.45051160000000001</v>
      </c>
      <c r="R64" s="149">
        <v>0.1680015</v>
      </c>
      <c r="S64" s="149">
        <v>0.12124070000000001</v>
      </c>
      <c r="T64" s="149">
        <v>6.3051099999999999E-2</v>
      </c>
      <c r="U64" s="149">
        <v>0.20227999999999999</v>
      </c>
      <c r="V64" s="149">
        <v>0.26821270000000003</v>
      </c>
      <c r="W64" s="149">
        <v>0.2209304</v>
      </c>
      <c r="X64" s="149">
        <v>0.1057768</v>
      </c>
      <c r="Y64" s="149">
        <v>5.70441E-2</v>
      </c>
      <c r="Z64" s="149">
        <v>0</v>
      </c>
      <c r="AA64" s="149">
        <v>0</v>
      </c>
      <c r="AB64" s="149">
        <v>0.19050259999999999</v>
      </c>
      <c r="AC64" s="149">
        <v>5.2914500000000003E-2</v>
      </c>
      <c r="AE64" s="98" t="s">
        <v>242</v>
      </c>
      <c r="AF64" s="99"/>
    </row>
    <row r="65" spans="1:32" ht="15.75" customHeight="1" x14ac:dyDescent="0.35">
      <c r="A65" s="111"/>
      <c r="B65" s="109" t="s">
        <v>2</v>
      </c>
      <c r="C65" s="149">
        <v>0.16006421000000001</v>
      </c>
      <c r="D65" s="149">
        <v>0.20382040000000001</v>
      </c>
      <c r="E65" s="149">
        <v>0.1421558</v>
      </c>
      <c r="F65" s="149">
        <v>0.1390033</v>
      </c>
      <c r="G65" s="149">
        <v>0.15745690000000001</v>
      </c>
      <c r="H65" s="149">
        <v>0.19672780000000001</v>
      </c>
      <c r="I65" s="149">
        <v>0.26541989999999999</v>
      </c>
      <c r="J65" s="149">
        <v>0.21912490000000001</v>
      </c>
      <c r="K65" s="149">
        <v>4.4073800000000003E-2</v>
      </c>
      <c r="L65" s="149">
        <v>0.13748540000000001</v>
      </c>
      <c r="M65" s="149">
        <v>0.189697</v>
      </c>
      <c r="N65" s="149">
        <v>5.76838E-2</v>
      </c>
      <c r="O65" s="149">
        <v>0.1306901</v>
      </c>
      <c r="P65" s="149">
        <v>0.16648019999999999</v>
      </c>
      <c r="Q65" s="149">
        <v>0.45051160000000001</v>
      </c>
      <c r="R65" s="149">
        <v>0.1680015</v>
      </c>
      <c r="S65" s="149">
        <v>0.12124070000000001</v>
      </c>
      <c r="T65" s="149">
        <v>6.3051099999999999E-2</v>
      </c>
      <c r="U65" s="149">
        <v>0.20227999999999999</v>
      </c>
      <c r="V65" s="149">
        <v>0.26821270000000003</v>
      </c>
      <c r="W65" s="149">
        <v>0.2209304</v>
      </c>
      <c r="X65" s="149">
        <v>0.1057768</v>
      </c>
      <c r="Y65" s="149">
        <v>5.70441E-2</v>
      </c>
      <c r="Z65" s="149">
        <v>0</v>
      </c>
      <c r="AA65" s="149">
        <v>0</v>
      </c>
      <c r="AB65" s="149">
        <v>0.19050259999999999</v>
      </c>
      <c r="AC65" s="149">
        <v>5.2914500000000003E-2</v>
      </c>
      <c r="AE65" s="98" t="s">
        <v>242</v>
      </c>
      <c r="AF65" s="99"/>
    </row>
    <row r="66" spans="1:32" ht="15.75" customHeight="1" x14ac:dyDescent="0.35">
      <c r="A66" s="111"/>
      <c r="B66" s="109" t="s">
        <v>3</v>
      </c>
      <c r="C66" s="149">
        <v>0.20966080000000001</v>
      </c>
      <c r="D66" s="149">
        <v>0.30885360000000001</v>
      </c>
      <c r="E66" s="149">
        <v>7.8684900000000002E-2</v>
      </c>
      <c r="F66" s="149">
        <v>0.17490710000000001</v>
      </c>
      <c r="G66" s="149">
        <v>0.26322030000000002</v>
      </c>
      <c r="H66" s="149">
        <v>0.1715844</v>
      </c>
      <c r="I66" s="149">
        <v>8.7434100000000001E-2</v>
      </c>
      <c r="J66" s="149">
        <v>0.17065159999999999</v>
      </c>
      <c r="K66" s="149">
        <v>0.23691799999999999</v>
      </c>
      <c r="L66" s="149">
        <v>0.14234469999999999</v>
      </c>
      <c r="M66" s="149">
        <v>0.16401299999999999</v>
      </c>
      <c r="N66" s="149">
        <v>0.265096</v>
      </c>
      <c r="O66" s="149">
        <v>0.47647139999999999</v>
      </c>
      <c r="P66" s="149">
        <v>0.32136880000000001</v>
      </c>
      <c r="Q66" s="149">
        <v>0.22889190000000001</v>
      </c>
      <c r="R66" s="149">
        <v>3.1059799999999999E-2</v>
      </c>
      <c r="S66" s="149">
        <v>8.3065600000000003E-2</v>
      </c>
      <c r="T66" s="149">
        <v>0.37688270000000001</v>
      </c>
      <c r="U66" s="149">
        <v>0.1254825</v>
      </c>
      <c r="V66" s="149">
        <v>0.14787810000000001</v>
      </c>
      <c r="W66" s="149">
        <v>0.25292629999999999</v>
      </c>
      <c r="X66" s="149">
        <v>0.1781479</v>
      </c>
      <c r="Y66" s="149">
        <v>0.16160279999999999</v>
      </c>
      <c r="Z66" s="149">
        <v>7.1598300000000004E-2</v>
      </c>
      <c r="AA66" s="149">
        <v>0.14759510000000001</v>
      </c>
      <c r="AB66" s="149">
        <v>0.43213960000000001</v>
      </c>
      <c r="AC66" s="149">
        <v>0.15850520000000001</v>
      </c>
      <c r="AE66" s="98" t="s">
        <v>242</v>
      </c>
      <c r="AF66" s="99"/>
    </row>
    <row r="67" spans="1:32" ht="15.75" customHeight="1" x14ac:dyDescent="0.35">
      <c r="A67" s="111"/>
      <c r="B67" s="109" t="s">
        <v>4</v>
      </c>
      <c r="C67" s="149">
        <v>0.19135379999999999</v>
      </c>
      <c r="D67" s="149">
        <v>0.19786480000000001</v>
      </c>
      <c r="E67" s="149">
        <v>0.19855719999999999</v>
      </c>
      <c r="F67" s="149">
        <v>0.26412239999999998</v>
      </c>
      <c r="G67" s="149">
        <v>0.15745690000000001</v>
      </c>
      <c r="H67" s="149">
        <v>0.19672780000000001</v>
      </c>
      <c r="I67" s="149">
        <v>0.108698</v>
      </c>
      <c r="J67" s="149">
        <v>0.27965519999999999</v>
      </c>
      <c r="K67" s="149">
        <v>0.168381</v>
      </c>
      <c r="L67" s="149">
        <v>0.20263049999999999</v>
      </c>
      <c r="M67" s="149">
        <v>9.3962400000000001E-2</v>
      </c>
      <c r="N67" s="149">
        <v>0.26523849999999999</v>
      </c>
      <c r="O67" s="149">
        <v>0.2025081</v>
      </c>
      <c r="P67" s="149">
        <v>0.16648019999999999</v>
      </c>
      <c r="Q67" s="149">
        <v>0.18423519999999999</v>
      </c>
      <c r="R67" s="149">
        <v>0.27027269999999998</v>
      </c>
      <c r="S67" s="149">
        <v>0.22908480000000001</v>
      </c>
      <c r="T67" s="149">
        <v>0.2313663</v>
      </c>
      <c r="U67" s="149">
        <v>0.1213969</v>
      </c>
      <c r="V67" s="149">
        <v>0.15206430000000001</v>
      </c>
      <c r="W67" s="149">
        <v>0.25884390000000002</v>
      </c>
      <c r="X67" s="149">
        <v>0.1021714</v>
      </c>
      <c r="Y67" s="149">
        <v>0.44257239999999998</v>
      </c>
      <c r="Z67" s="149">
        <v>0.28145239999999999</v>
      </c>
      <c r="AA67" s="149">
        <v>0.19685920000000001</v>
      </c>
      <c r="AB67" s="149">
        <v>0.13370080000000001</v>
      </c>
      <c r="AC67" s="149">
        <v>0.11695129999999999</v>
      </c>
      <c r="AE67" s="98" t="s">
        <v>242</v>
      </c>
      <c r="AF67" s="99"/>
    </row>
    <row r="68" spans="1:32" ht="15.75" customHeight="1" x14ac:dyDescent="0.35">
      <c r="A68" s="111"/>
      <c r="B68" s="109" t="s">
        <v>5</v>
      </c>
      <c r="C68" s="149">
        <v>0.15356230000000001</v>
      </c>
      <c r="D68" s="149">
        <v>0.1274941</v>
      </c>
      <c r="E68" s="149">
        <v>0.23420830000000001</v>
      </c>
      <c r="F68" s="149">
        <v>0.2960025</v>
      </c>
      <c r="G68" s="149">
        <v>0.224302</v>
      </c>
      <c r="H68" s="149">
        <v>0.20376730000000001</v>
      </c>
      <c r="I68" s="149">
        <v>0.1393604</v>
      </c>
      <c r="J68" s="149">
        <v>0.1543504</v>
      </c>
      <c r="K68" s="149">
        <v>9.0045200000000006E-2</v>
      </c>
      <c r="L68" s="149">
        <v>0.13868240000000001</v>
      </c>
      <c r="M68" s="149">
        <v>0.17256469999999999</v>
      </c>
      <c r="N68" s="149">
        <v>0.12620619999999999</v>
      </c>
      <c r="O68" s="149">
        <v>0.13821629999999999</v>
      </c>
      <c r="P68" s="149">
        <v>0.17090320000000001</v>
      </c>
      <c r="Q68" s="149">
        <v>0.20960490000000001</v>
      </c>
      <c r="R68" s="149">
        <v>0.1393546</v>
      </c>
      <c r="S68" s="149">
        <v>7.6510599999999998E-2</v>
      </c>
      <c r="T68" s="149">
        <v>0.16505010000000001</v>
      </c>
      <c r="U68" s="149">
        <v>7.6034400000000002E-2</v>
      </c>
      <c r="V68" s="149">
        <v>9.7873399999999999E-2</v>
      </c>
      <c r="W68" s="149">
        <v>0.1564508</v>
      </c>
      <c r="X68" s="149">
        <v>9.3313599999999997E-2</v>
      </c>
      <c r="Y68" s="149">
        <v>0.10509400000000001</v>
      </c>
      <c r="Z68" s="149">
        <v>0.1089537</v>
      </c>
      <c r="AA68" s="149">
        <v>0.1499762</v>
      </c>
      <c r="AB68" s="149">
        <v>8.3976300000000004E-2</v>
      </c>
      <c r="AC68" s="149">
        <v>8.6609000000000005E-2</v>
      </c>
      <c r="AE68" s="98" t="s">
        <v>242</v>
      </c>
      <c r="AF68" s="99"/>
    </row>
    <row r="69" spans="1:32" ht="15.75" customHeight="1" x14ac:dyDescent="0.35">
      <c r="A69" s="111"/>
      <c r="B69" s="119" t="s">
        <v>118</v>
      </c>
      <c r="C69" s="98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8"/>
      <c r="S69" s="98"/>
      <c r="T69" s="98"/>
      <c r="U69" s="98"/>
      <c r="V69" s="98"/>
      <c r="W69" s="98"/>
      <c r="X69" s="98"/>
      <c r="Y69" s="98"/>
      <c r="Z69" s="98"/>
      <c r="AA69" s="98"/>
      <c r="AB69" s="98"/>
      <c r="AC69" s="98"/>
      <c r="AE69" s="98"/>
      <c r="AF69" s="99"/>
    </row>
    <row r="70" spans="1:32" ht="15.75" customHeight="1" x14ac:dyDescent="0.35">
      <c r="A70" s="111"/>
      <c r="B70" s="109" t="s">
        <v>1</v>
      </c>
      <c r="C70" s="149">
        <v>0.71705973000000001</v>
      </c>
      <c r="D70" s="149">
        <v>0.72048710000000005</v>
      </c>
      <c r="E70" s="149">
        <v>0.67620340000000001</v>
      </c>
      <c r="F70" s="149">
        <v>0.83783370000000001</v>
      </c>
      <c r="G70" s="149">
        <v>0.72090339999999997</v>
      </c>
      <c r="H70" s="149">
        <v>0.70819030000000005</v>
      </c>
      <c r="I70" s="149">
        <v>0.73458009999999996</v>
      </c>
      <c r="J70" s="149">
        <v>0.69152020000000003</v>
      </c>
      <c r="K70" s="149">
        <v>0.90986180000000005</v>
      </c>
      <c r="L70" s="149">
        <v>0.74409990000000004</v>
      </c>
      <c r="M70" s="149">
        <v>0.57919350000000003</v>
      </c>
      <c r="N70" s="149">
        <v>0.91768179999999999</v>
      </c>
      <c r="O70" s="149">
        <v>0.67669049999999997</v>
      </c>
      <c r="P70" s="149">
        <v>0.77062569999999997</v>
      </c>
      <c r="Q70" s="149">
        <v>0.5049612</v>
      </c>
      <c r="R70" s="149">
        <v>0.580152</v>
      </c>
      <c r="S70" s="149">
        <v>0.82306489999999999</v>
      </c>
      <c r="T70" s="149">
        <v>0.74335549999999995</v>
      </c>
      <c r="U70" s="149">
        <v>0.76348499999999997</v>
      </c>
      <c r="V70" s="149">
        <v>0.59700019999999998</v>
      </c>
      <c r="W70" s="149">
        <v>0.53936059999999997</v>
      </c>
      <c r="X70" s="149">
        <v>0.78263519999999998</v>
      </c>
      <c r="Y70" s="149">
        <v>0.87669949999999996</v>
      </c>
      <c r="Z70" s="149">
        <v>0.89713699999999996</v>
      </c>
      <c r="AA70" s="149">
        <v>0.83313780000000004</v>
      </c>
      <c r="AB70" s="149">
        <v>0.7293984</v>
      </c>
      <c r="AC70" s="149">
        <v>0.77356820000000004</v>
      </c>
      <c r="AE70" s="98" t="s">
        <v>242</v>
      </c>
      <c r="AF70" s="99"/>
    </row>
    <row r="71" spans="1:32" ht="15.75" customHeight="1" x14ac:dyDescent="0.35">
      <c r="A71" s="111"/>
      <c r="B71" s="109" t="s">
        <v>2</v>
      </c>
      <c r="C71" s="149">
        <v>0.71705973000000001</v>
      </c>
      <c r="D71" s="149">
        <v>0.72048710000000005</v>
      </c>
      <c r="E71" s="149">
        <v>0.67620340000000001</v>
      </c>
      <c r="F71" s="149">
        <v>0.83783370000000001</v>
      </c>
      <c r="G71" s="149">
        <v>0.72090339999999997</v>
      </c>
      <c r="H71" s="149">
        <v>0.70819030000000005</v>
      </c>
      <c r="I71" s="149">
        <v>0.73458009999999996</v>
      </c>
      <c r="J71" s="149">
        <v>0.69152020000000003</v>
      </c>
      <c r="K71" s="149">
        <v>0.90986180000000005</v>
      </c>
      <c r="L71" s="149">
        <v>0.74409990000000004</v>
      </c>
      <c r="M71" s="149">
        <v>0.57919350000000003</v>
      </c>
      <c r="N71" s="149">
        <v>0.91768179999999999</v>
      </c>
      <c r="O71" s="149">
        <v>0.67669049999999997</v>
      </c>
      <c r="P71" s="149">
        <v>0.77062569999999997</v>
      </c>
      <c r="Q71" s="149">
        <v>0.5049612</v>
      </c>
      <c r="R71" s="149">
        <v>0.580152</v>
      </c>
      <c r="S71" s="149">
        <v>0.82306489999999999</v>
      </c>
      <c r="T71" s="149">
        <v>0.74335549999999995</v>
      </c>
      <c r="U71" s="149">
        <v>0.76348499999999997</v>
      </c>
      <c r="V71" s="149">
        <v>0.59700019999999998</v>
      </c>
      <c r="W71" s="149">
        <v>0.53936059999999997</v>
      </c>
      <c r="X71" s="149">
        <v>0.78263519999999998</v>
      </c>
      <c r="Y71" s="149">
        <v>0.87669949999999996</v>
      </c>
      <c r="Z71" s="149">
        <v>0.89713699999999996</v>
      </c>
      <c r="AA71" s="149">
        <v>0.83313780000000004</v>
      </c>
      <c r="AB71" s="149">
        <v>0.7293984</v>
      </c>
      <c r="AC71" s="149">
        <v>0.77356820000000004</v>
      </c>
      <c r="AE71" s="98" t="s">
        <v>242</v>
      </c>
      <c r="AF71" s="99"/>
    </row>
    <row r="72" spans="1:32" ht="15.75" customHeight="1" x14ac:dyDescent="0.35">
      <c r="A72" s="111"/>
      <c r="B72" s="109" t="s">
        <v>3</v>
      </c>
      <c r="C72" s="149">
        <v>0.67248909999999995</v>
      </c>
      <c r="D72" s="149">
        <v>0.62153119999999995</v>
      </c>
      <c r="E72" s="149">
        <v>0.70693640000000002</v>
      </c>
      <c r="F72" s="149">
        <v>0.74717219999999995</v>
      </c>
      <c r="G72" s="149">
        <v>0.18625340000000001</v>
      </c>
      <c r="H72" s="149">
        <v>0.75171739999999998</v>
      </c>
      <c r="I72" s="149">
        <v>0.78220529999999999</v>
      </c>
      <c r="J72" s="149">
        <v>0.74079890000000004</v>
      </c>
      <c r="K72" s="149">
        <v>0.75049109999999997</v>
      </c>
      <c r="L72" s="149">
        <v>0.75123640000000003</v>
      </c>
      <c r="M72" s="149">
        <v>0.78624810000000001</v>
      </c>
      <c r="N72" s="149">
        <v>0.55153649999999999</v>
      </c>
      <c r="O72" s="149">
        <v>0.44552170000000002</v>
      </c>
      <c r="P72" s="149">
        <v>0.63502130000000001</v>
      </c>
      <c r="Q72" s="149">
        <v>0.61851350000000005</v>
      </c>
      <c r="R72" s="149">
        <v>0.93219090000000004</v>
      </c>
      <c r="S72" s="149">
        <v>0.86003309999999999</v>
      </c>
      <c r="T72" s="149">
        <v>0.46782810000000002</v>
      </c>
      <c r="U72" s="149">
        <v>0.68801129999999999</v>
      </c>
      <c r="V72" s="149">
        <v>0.7432434</v>
      </c>
      <c r="W72" s="149">
        <v>0.5377343</v>
      </c>
      <c r="X72" s="149">
        <v>0.82185209999999997</v>
      </c>
      <c r="Y72" s="149">
        <v>0.75957989999999997</v>
      </c>
      <c r="Z72" s="149">
        <v>0.86163369999999995</v>
      </c>
      <c r="AA72" s="149">
        <v>0.73367479999999996</v>
      </c>
      <c r="AB72" s="149">
        <v>0.52192819999999995</v>
      </c>
      <c r="AC72" s="149">
        <v>0.78923889999999997</v>
      </c>
      <c r="AE72" s="98" t="s">
        <v>242</v>
      </c>
      <c r="AF72" s="99"/>
    </row>
    <row r="73" spans="1:32" ht="15.75" customHeight="1" x14ac:dyDescent="0.35">
      <c r="A73" s="111"/>
      <c r="B73" s="109" t="s">
        <v>4</v>
      </c>
      <c r="C73" s="149">
        <v>0.72537450000000003</v>
      </c>
      <c r="D73" s="149">
        <v>0.76099309999999998</v>
      </c>
      <c r="E73" s="149">
        <v>0.67092989999999997</v>
      </c>
      <c r="F73" s="149">
        <v>0.6687748</v>
      </c>
      <c r="G73" s="149">
        <v>0.74180279999999998</v>
      </c>
      <c r="H73" s="149">
        <v>0.62974370000000002</v>
      </c>
      <c r="I73" s="149">
        <v>0.83176190000000005</v>
      </c>
      <c r="J73" s="149">
        <v>0.67275890000000005</v>
      </c>
      <c r="K73" s="149">
        <v>0.75221340000000003</v>
      </c>
      <c r="L73" s="149">
        <v>0.71251350000000002</v>
      </c>
      <c r="M73" s="149">
        <v>0.80122879999999996</v>
      </c>
      <c r="N73" s="149">
        <v>0.63731009999999999</v>
      </c>
      <c r="O73" s="149">
        <v>0.72412779999999999</v>
      </c>
      <c r="P73" s="149">
        <v>0.74346020000000002</v>
      </c>
      <c r="Q73" s="149">
        <v>0.75045819999999996</v>
      </c>
      <c r="R73" s="149">
        <v>0.59749929999999996</v>
      </c>
      <c r="S73" s="149">
        <v>0.65003730000000004</v>
      </c>
      <c r="T73" s="149">
        <v>0.65053030000000001</v>
      </c>
      <c r="U73" s="149">
        <v>0.81182849999999995</v>
      </c>
      <c r="V73" s="149">
        <v>0.75874560000000002</v>
      </c>
      <c r="W73" s="149">
        <v>0.58808000000000005</v>
      </c>
      <c r="X73" s="149">
        <v>0.83883890000000005</v>
      </c>
      <c r="Y73" s="149">
        <v>0.53997110000000004</v>
      </c>
      <c r="Z73" s="149">
        <v>0.64383880000000004</v>
      </c>
      <c r="AA73" s="149">
        <v>0.74542220000000003</v>
      </c>
      <c r="AB73" s="149">
        <v>0.83475849999999996</v>
      </c>
      <c r="AC73" s="149">
        <v>0.80190209999999995</v>
      </c>
      <c r="AE73" s="98" t="s">
        <v>242</v>
      </c>
      <c r="AF73" s="99"/>
    </row>
    <row r="74" spans="1:32" ht="15.75" customHeight="1" x14ac:dyDescent="0.35">
      <c r="A74" s="111"/>
      <c r="B74" s="109" t="s">
        <v>5</v>
      </c>
      <c r="C74" s="149">
        <v>0.78349040000000003</v>
      </c>
      <c r="D74" s="149">
        <v>0.85269700000000004</v>
      </c>
      <c r="E74" s="149">
        <v>0.68541379999999996</v>
      </c>
      <c r="F74" s="149">
        <v>0.64204309999999998</v>
      </c>
      <c r="G74" s="149">
        <v>0.72090339999999997</v>
      </c>
      <c r="H74" s="149">
        <v>0.70819030000000005</v>
      </c>
      <c r="I74" s="149">
        <v>0.82909849999999996</v>
      </c>
      <c r="J74" s="149">
        <v>0.79811410000000005</v>
      </c>
      <c r="K74" s="149">
        <v>0.87037690000000001</v>
      </c>
      <c r="L74" s="149">
        <v>0.82049510000000003</v>
      </c>
      <c r="M74" s="149">
        <v>0.75123879999999998</v>
      </c>
      <c r="N74" s="149">
        <v>0.79753540000000001</v>
      </c>
      <c r="O74" s="149">
        <v>0.83163540000000002</v>
      </c>
      <c r="P74" s="149">
        <v>0.77062569999999997</v>
      </c>
      <c r="Q74" s="149">
        <v>0.73540930000000004</v>
      </c>
      <c r="R74" s="149">
        <v>0.80305870000000001</v>
      </c>
      <c r="S74" s="149">
        <v>0.8787509</v>
      </c>
      <c r="T74" s="149">
        <v>0.76410180000000005</v>
      </c>
      <c r="U74" s="149">
        <v>0.82162270000000004</v>
      </c>
      <c r="V74" s="149">
        <v>0.79778210000000005</v>
      </c>
      <c r="W74" s="149">
        <v>0.6019139</v>
      </c>
      <c r="X74" s="149">
        <v>0.87240390000000001</v>
      </c>
      <c r="Y74" s="149">
        <v>0.82182310000000003</v>
      </c>
      <c r="Z74" s="149">
        <v>0.81656249999999997</v>
      </c>
      <c r="AA74" s="149">
        <v>0.76941219999999999</v>
      </c>
      <c r="AB74" s="149">
        <v>0.84260170000000001</v>
      </c>
      <c r="AC74" s="149">
        <v>0.86105359999999997</v>
      </c>
      <c r="AE74" s="98" t="s">
        <v>242</v>
      </c>
      <c r="AF74" s="114"/>
    </row>
    <row r="75" spans="1:32" ht="15.75" customHeight="1" x14ac:dyDescent="0.35">
      <c r="A75" s="111"/>
      <c r="B75" s="115"/>
      <c r="C75" s="98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8"/>
      <c r="S75" s="98"/>
      <c r="T75" s="98"/>
      <c r="U75" s="98"/>
      <c r="V75" s="98"/>
      <c r="W75" s="98"/>
      <c r="X75" s="98"/>
      <c r="Y75" s="98"/>
      <c r="Z75" s="98"/>
      <c r="AA75" s="98"/>
      <c r="AB75" s="98"/>
      <c r="AC75" s="98"/>
      <c r="AE75" s="98"/>
      <c r="AF75" s="99"/>
    </row>
    <row r="76" spans="1:32" ht="15.75" customHeight="1" x14ac:dyDescent="0.35">
      <c r="A76" s="116"/>
      <c r="B76" s="117" t="s">
        <v>70</v>
      </c>
      <c r="C76" s="103"/>
      <c r="D76" s="49"/>
      <c r="E76" s="49"/>
      <c r="F76" s="49"/>
      <c r="G76" s="49"/>
      <c r="H76" s="49"/>
      <c r="I76" s="87"/>
      <c r="J76" s="87"/>
      <c r="K76" s="87"/>
      <c r="L76" s="87"/>
      <c r="M76" s="87"/>
      <c r="N76" s="87"/>
      <c r="O76" s="87"/>
      <c r="P76" s="87"/>
      <c r="Q76" s="103"/>
      <c r="R76" s="103"/>
      <c r="S76" s="103"/>
      <c r="T76" s="103"/>
      <c r="U76" s="103"/>
      <c r="V76" s="103"/>
      <c r="W76" s="103"/>
      <c r="X76" s="103"/>
      <c r="Y76" s="103"/>
      <c r="Z76" s="103"/>
      <c r="AA76" s="103"/>
      <c r="AB76" s="103"/>
      <c r="AC76" s="103"/>
      <c r="AE76" s="103"/>
      <c r="AF76" s="118" t="s">
        <v>256</v>
      </c>
    </row>
    <row r="77" spans="1:32" ht="15.75" customHeight="1" x14ac:dyDescent="0.35">
      <c r="A77" s="126" t="s">
        <v>269</v>
      </c>
      <c r="B77" s="117" t="s">
        <v>257</v>
      </c>
      <c r="C77" s="98"/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8"/>
      <c r="S77" s="98"/>
      <c r="T77" s="98"/>
      <c r="U77" s="98"/>
      <c r="V77" s="98"/>
      <c r="W77" s="98"/>
      <c r="X77" s="98"/>
      <c r="Y77" s="98"/>
      <c r="Z77" s="98"/>
      <c r="AA77" s="98"/>
      <c r="AB77" s="98"/>
      <c r="AC77" s="98"/>
      <c r="AE77" s="98"/>
      <c r="AF77" s="99"/>
    </row>
    <row r="78" spans="1:32" ht="15.75" customHeight="1" x14ac:dyDescent="0.35">
      <c r="A78" s="111"/>
      <c r="B78" s="109" t="s">
        <v>1</v>
      </c>
      <c r="C78" s="157"/>
      <c r="D78" s="157"/>
      <c r="E78" s="157"/>
      <c r="F78" s="157"/>
      <c r="G78" s="157"/>
      <c r="H78" s="157"/>
      <c r="I78" s="157"/>
      <c r="J78" s="157"/>
      <c r="K78" s="157"/>
      <c r="L78" s="157"/>
      <c r="M78" s="157"/>
      <c r="N78" s="157"/>
      <c r="O78" s="157"/>
      <c r="P78" s="157"/>
      <c r="Q78" s="157"/>
      <c r="R78" s="157"/>
      <c r="S78" s="157"/>
      <c r="T78" s="157"/>
      <c r="U78" s="157"/>
      <c r="V78" s="157"/>
      <c r="W78" s="157"/>
      <c r="X78" s="157"/>
      <c r="Y78" s="157"/>
      <c r="Z78" s="157"/>
      <c r="AA78" s="157"/>
      <c r="AB78" s="157"/>
      <c r="AC78" s="157"/>
      <c r="AE78" s="98"/>
      <c r="AF78" s="99" t="s">
        <v>258</v>
      </c>
    </row>
    <row r="79" spans="1:32" ht="15.75" customHeight="1" x14ac:dyDescent="0.35">
      <c r="A79" s="111"/>
      <c r="B79" s="109" t="s">
        <v>2</v>
      </c>
      <c r="C79" s="157"/>
      <c r="D79" s="157"/>
      <c r="E79" s="157"/>
      <c r="F79" s="157"/>
      <c r="G79" s="157"/>
      <c r="H79" s="157"/>
      <c r="I79" s="157"/>
      <c r="J79" s="157"/>
      <c r="K79" s="157"/>
      <c r="L79" s="157"/>
      <c r="M79" s="157"/>
      <c r="N79" s="157"/>
      <c r="O79" s="157"/>
      <c r="P79" s="157"/>
      <c r="Q79" s="157"/>
      <c r="R79" s="157"/>
      <c r="S79" s="157"/>
      <c r="T79" s="157"/>
      <c r="U79" s="157"/>
      <c r="V79" s="157"/>
      <c r="W79" s="157"/>
      <c r="X79" s="157"/>
      <c r="Y79" s="157"/>
      <c r="Z79" s="157"/>
      <c r="AA79" s="157"/>
      <c r="AB79" s="157"/>
      <c r="AC79" s="157"/>
      <c r="AE79" s="98"/>
      <c r="AF79" s="99"/>
    </row>
    <row r="80" spans="1:32" ht="15.75" customHeight="1" x14ac:dyDescent="0.35">
      <c r="A80" s="111"/>
      <c r="B80" s="109" t="s">
        <v>3</v>
      </c>
      <c r="C80" s="149">
        <v>0.72709999999999997</v>
      </c>
      <c r="D80" s="149">
        <v>0.66679999999999995</v>
      </c>
      <c r="E80" s="149">
        <v>0.75480000000000003</v>
      </c>
      <c r="F80" s="149">
        <v>0.69379999999999997</v>
      </c>
      <c r="G80" s="149">
        <v>0.83550000000000002</v>
      </c>
      <c r="H80" s="149">
        <v>0.90039999999999998</v>
      </c>
      <c r="I80" s="149">
        <v>0.97060000000000002</v>
      </c>
      <c r="J80" s="149">
        <v>0.54869999999999997</v>
      </c>
      <c r="K80" s="149">
        <v>0.65869999999999995</v>
      </c>
      <c r="L80" s="149">
        <v>0.72760000000000002</v>
      </c>
      <c r="M80" s="149">
        <v>0.50349999999999995</v>
      </c>
      <c r="N80" s="149">
        <v>0.55220000000000002</v>
      </c>
      <c r="O80" s="149">
        <v>0.76049999999999995</v>
      </c>
      <c r="P80" s="149">
        <v>0.90339999999999998</v>
      </c>
      <c r="Q80" s="149">
        <v>0.67469999999999997</v>
      </c>
      <c r="R80" s="149">
        <v>0.72160000000000002</v>
      </c>
      <c r="S80" s="149">
        <v>0.69950000000000001</v>
      </c>
      <c r="T80" s="149">
        <v>0.87970000000000004</v>
      </c>
      <c r="U80" s="149">
        <v>0.75239999999999996</v>
      </c>
      <c r="V80" s="149">
        <v>0.89329999999999998</v>
      </c>
      <c r="W80" s="149">
        <v>0.9234</v>
      </c>
      <c r="X80" s="149">
        <v>0.75329999999999997</v>
      </c>
      <c r="Y80" s="149">
        <v>0.80879999999999996</v>
      </c>
      <c r="Z80" s="152">
        <v>0.8972</v>
      </c>
      <c r="AA80" s="149">
        <v>0.72399999999999998</v>
      </c>
      <c r="AB80" s="158">
        <v>0.93969999999999998</v>
      </c>
      <c r="AC80" s="152">
        <v>0.44440000000000002</v>
      </c>
      <c r="AE80" s="98" t="s">
        <v>242</v>
      </c>
    </row>
    <row r="81" spans="1:32" ht="15.75" customHeight="1" x14ac:dyDescent="0.35">
      <c r="A81" s="111"/>
      <c r="B81" s="109" t="s">
        <v>4</v>
      </c>
      <c r="C81" s="149">
        <v>0.65639999999999998</v>
      </c>
      <c r="D81" s="149">
        <v>0.73170000000000002</v>
      </c>
      <c r="E81" s="149">
        <v>0.4677</v>
      </c>
      <c r="F81" s="149">
        <v>0.52910000000000001</v>
      </c>
      <c r="G81" s="149">
        <v>0.75690000000000002</v>
      </c>
      <c r="H81" s="149">
        <v>0.73180000000000001</v>
      </c>
      <c r="I81" s="149">
        <v>0.48420000000000002</v>
      </c>
      <c r="J81" s="149">
        <v>0.78649999999999998</v>
      </c>
      <c r="K81" s="149">
        <v>0.68740000000000001</v>
      </c>
      <c r="L81" s="149">
        <v>0.61929999999999996</v>
      </c>
      <c r="M81" s="149">
        <v>0.63260000000000005</v>
      </c>
      <c r="N81" s="149">
        <v>0.748</v>
      </c>
      <c r="O81" s="149">
        <v>0.74129999999999996</v>
      </c>
      <c r="P81" s="149">
        <v>0.82299999999999995</v>
      </c>
      <c r="Q81" s="149">
        <v>0.87139999999999995</v>
      </c>
      <c r="R81" s="149">
        <v>0.66069999999999995</v>
      </c>
      <c r="S81" s="149">
        <v>0.64990000000000003</v>
      </c>
      <c r="T81" s="149">
        <v>0.67630000000000001</v>
      </c>
      <c r="U81" s="149">
        <v>0.56699999999999995</v>
      </c>
      <c r="V81" s="149">
        <v>0.81189999999999996</v>
      </c>
      <c r="W81" s="149">
        <v>0.79210000000000003</v>
      </c>
      <c r="X81" s="149">
        <v>0.45119999999999999</v>
      </c>
      <c r="Y81" s="149">
        <v>0.71779999999999999</v>
      </c>
      <c r="Z81" s="149">
        <v>0.80269999999999997</v>
      </c>
      <c r="AA81" s="149">
        <v>0.64810000000000001</v>
      </c>
      <c r="AB81" s="149">
        <v>0.59340000000000004</v>
      </c>
      <c r="AC81" s="149">
        <v>0.63100000000000001</v>
      </c>
      <c r="AE81" s="98" t="s">
        <v>242</v>
      </c>
      <c r="AF81" s="99"/>
    </row>
    <row r="82" spans="1:32" ht="15.75" customHeight="1" x14ac:dyDescent="0.35">
      <c r="A82" s="111"/>
      <c r="B82" s="109" t="s">
        <v>5</v>
      </c>
      <c r="C82" s="159">
        <v>0.55879999999999996</v>
      </c>
      <c r="D82" s="149">
        <v>0.49940000000000001</v>
      </c>
      <c r="E82" s="149">
        <v>0.55769999999999997</v>
      </c>
      <c r="F82" s="149">
        <v>0.47649999999999998</v>
      </c>
      <c r="G82" s="149">
        <v>0.70669999999999999</v>
      </c>
      <c r="H82" s="149">
        <v>0.64410000000000001</v>
      </c>
      <c r="I82" s="149">
        <v>0.62590000000000001</v>
      </c>
      <c r="J82" s="149">
        <v>0.51100000000000001</v>
      </c>
      <c r="K82" s="149">
        <v>0.61099999999999999</v>
      </c>
      <c r="L82" s="149">
        <v>0.48159999999999997</v>
      </c>
      <c r="M82" s="149">
        <v>0.68799999999999994</v>
      </c>
      <c r="N82" s="149">
        <v>0.68230000000000002</v>
      </c>
      <c r="O82" s="149">
        <v>0.79039999999999999</v>
      </c>
      <c r="P82" s="149">
        <v>0.66</v>
      </c>
      <c r="Q82" s="149">
        <v>0.82630000000000003</v>
      </c>
      <c r="R82" s="149">
        <v>0.59909999999999997</v>
      </c>
      <c r="S82" s="149">
        <v>0.43240000000000001</v>
      </c>
      <c r="T82" s="149">
        <v>0.57750000000000001</v>
      </c>
      <c r="U82" s="149">
        <v>0.53</v>
      </c>
      <c r="V82" s="149">
        <v>0.74809999999999999</v>
      </c>
      <c r="W82" s="149">
        <v>0.77990000000000004</v>
      </c>
      <c r="X82" s="149">
        <v>0.251</v>
      </c>
      <c r="Y82" s="149">
        <v>0.78349999999999997</v>
      </c>
      <c r="Z82" s="149">
        <v>0.65890000000000004</v>
      </c>
      <c r="AA82" s="160">
        <v>0.60550000000000004</v>
      </c>
      <c r="AB82" s="158">
        <v>0.60750000000000004</v>
      </c>
      <c r="AC82" s="161">
        <v>0.26190000000000002</v>
      </c>
      <c r="AE82" s="98" t="s">
        <v>242</v>
      </c>
    </row>
    <row r="83" spans="1:32" ht="15.75" customHeight="1" x14ac:dyDescent="0.35">
      <c r="A83" s="117" t="s">
        <v>259</v>
      </c>
      <c r="B83" s="109" t="s">
        <v>260</v>
      </c>
      <c r="C83" s="162">
        <v>0.4602</v>
      </c>
      <c r="D83" s="162">
        <v>0.51319999999999999</v>
      </c>
      <c r="E83" s="162">
        <v>0</v>
      </c>
      <c r="F83" s="162">
        <v>0.22539999999999999</v>
      </c>
      <c r="G83" s="162">
        <v>0.3785</v>
      </c>
      <c r="H83" s="162">
        <v>0.81540000000000001</v>
      </c>
      <c r="I83" s="162">
        <v>0.14219999999999999</v>
      </c>
      <c r="J83" s="162">
        <v>0.3301</v>
      </c>
      <c r="K83" s="162">
        <v>0.14050000000000001</v>
      </c>
      <c r="L83" s="162">
        <v>0.53320000000000001</v>
      </c>
      <c r="M83" s="162">
        <v>0.64780000000000004</v>
      </c>
      <c r="N83" s="162">
        <v>0.44379999999999997</v>
      </c>
      <c r="O83" s="162">
        <v>0.45</v>
      </c>
      <c r="P83" s="162">
        <v>0.46579999999999999</v>
      </c>
      <c r="Q83" s="162">
        <v>0.30030000000000001</v>
      </c>
      <c r="R83" s="162">
        <v>0.79269999999999996</v>
      </c>
      <c r="S83" s="162">
        <v>0.7359</v>
      </c>
      <c r="T83" s="162">
        <v>0.61619999999999997</v>
      </c>
      <c r="U83" s="162">
        <v>0.75480000000000003</v>
      </c>
      <c r="V83" s="162">
        <v>0.82669999999999999</v>
      </c>
      <c r="W83" s="162">
        <v>0.79769999999999996</v>
      </c>
      <c r="X83" s="162">
        <v>0.36320000000000002</v>
      </c>
      <c r="Y83" s="162">
        <v>0.77480000000000004</v>
      </c>
      <c r="Z83" s="162">
        <v>7.5399999999999995E-2</v>
      </c>
      <c r="AA83" s="162">
        <v>0.68930000000000002</v>
      </c>
      <c r="AB83" s="162">
        <v>0.36909999999999998</v>
      </c>
      <c r="AC83" s="162">
        <v>0.5504</v>
      </c>
      <c r="AE83" s="98" t="s">
        <v>242</v>
      </c>
      <c r="AF83" s="99" t="s">
        <v>261</v>
      </c>
    </row>
    <row r="84" spans="1:32" ht="15.75" customHeight="1" x14ac:dyDescent="0.35">
      <c r="A84" s="111"/>
      <c r="B84" s="109" t="s">
        <v>262</v>
      </c>
      <c r="C84" s="162">
        <v>0.44419999999999998</v>
      </c>
      <c r="D84" s="162">
        <v>0.70550000000000002</v>
      </c>
      <c r="E84" s="162">
        <v>0.43240000000000001</v>
      </c>
      <c r="F84" s="162">
        <v>0.39219999999999999</v>
      </c>
      <c r="G84" s="162">
        <v>0.63790000000000002</v>
      </c>
      <c r="H84" s="162">
        <v>0.60589999999999999</v>
      </c>
      <c r="I84" s="162">
        <v>0.73280000000000001</v>
      </c>
      <c r="J84" s="162">
        <v>0.24349999999999999</v>
      </c>
      <c r="K84" s="162">
        <v>0.34570000000000001</v>
      </c>
      <c r="L84" s="162">
        <v>0.35039999999999999</v>
      </c>
      <c r="M84" s="162">
        <v>0.53990000000000005</v>
      </c>
      <c r="N84" s="162">
        <v>0.622</v>
      </c>
      <c r="O84" s="162">
        <v>0.4829</v>
      </c>
      <c r="P84" s="162">
        <v>0.32429999999999998</v>
      </c>
      <c r="Q84" s="162">
        <v>0.52629999999999999</v>
      </c>
      <c r="R84" s="162">
        <v>0.4965</v>
      </c>
      <c r="S84" s="162">
        <v>0.42259999999999998</v>
      </c>
      <c r="T84" s="162">
        <v>0.65569999999999995</v>
      </c>
      <c r="U84" s="162">
        <v>0.57469999999999999</v>
      </c>
      <c r="V84" s="162">
        <v>0.438</v>
      </c>
      <c r="W84" s="162">
        <v>0.50839999999999996</v>
      </c>
      <c r="X84" s="162">
        <v>0.1104</v>
      </c>
      <c r="Y84" s="162">
        <v>0.55230000000000001</v>
      </c>
      <c r="Z84" s="162">
        <v>0.52739999999999998</v>
      </c>
      <c r="AA84" s="162">
        <v>0.13439999999999999</v>
      </c>
      <c r="AB84" s="162">
        <v>0.53779999999999994</v>
      </c>
      <c r="AC84" s="162">
        <v>0.24590000000000001</v>
      </c>
      <c r="AE84" s="98" t="s">
        <v>242</v>
      </c>
      <c r="AF84" s="99"/>
    </row>
    <row r="85" spans="1:32" ht="15.75" customHeight="1" x14ac:dyDescent="0.35">
      <c r="A85" s="111"/>
      <c r="B85" s="109" t="s">
        <v>263</v>
      </c>
      <c r="C85" s="162">
        <v>0.38919999999999999</v>
      </c>
      <c r="D85" s="162">
        <v>0.54890000000000005</v>
      </c>
      <c r="E85" s="162">
        <v>0.37169999999999997</v>
      </c>
      <c r="F85" s="162">
        <v>0.36230000000000001</v>
      </c>
      <c r="G85" s="162">
        <v>0.3402</v>
      </c>
      <c r="H85" s="162">
        <v>0.76219999999999999</v>
      </c>
      <c r="I85" s="162">
        <v>0.1865</v>
      </c>
      <c r="J85" s="162">
        <v>0.39589999999999997</v>
      </c>
      <c r="K85" s="162">
        <v>3.4099999999999998E-2</v>
      </c>
      <c r="L85" s="162">
        <v>0.22700000000000001</v>
      </c>
      <c r="M85" s="162">
        <v>0.33789999999999998</v>
      </c>
      <c r="N85" s="162">
        <v>0.28489999999999999</v>
      </c>
      <c r="O85" s="162">
        <v>0.62129999999999996</v>
      </c>
      <c r="P85" s="162">
        <v>0.25009999999999999</v>
      </c>
      <c r="Q85" s="162">
        <v>0.38579999999999998</v>
      </c>
      <c r="R85" s="162">
        <v>0.27700000000000002</v>
      </c>
      <c r="S85" s="162">
        <v>0.4496</v>
      </c>
      <c r="T85" s="162">
        <v>0.38429999999999997</v>
      </c>
      <c r="U85" s="162">
        <v>0.3674</v>
      </c>
      <c r="V85" s="162">
        <v>0.3962</v>
      </c>
      <c r="W85" s="162">
        <v>0.54179999999999995</v>
      </c>
      <c r="X85" s="162">
        <v>0.16170000000000001</v>
      </c>
      <c r="Y85" s="162">
        <v>0.81340000000000001</v>
      </c>
      <c r="Z85" s="162">
        <v>0.11990000000000001</v>
      </c>
      <c r="AA85" s="162">
        <v>0.24909999999999999</v>
      </c>
      <c r="AB85" s="162">
        <v>2.24E-2</v>
      </c>
      <c r="AC85" s="162">
        <v>0.41170000000000001</v>
      </c>
      <c r="AE85" s="98" t="s">
        <v>242</v>
      </c>
      <c r="AF85" s="99"/>
    </row>
    <row r="86" spans="1:32" ht="15.75" customHeight="1" x14ac:dyDescent="0.35">
      <c r="A86" s="111"/>
      <c r="B86" s="109" t="s">
        <v>264</v>
      </c>
      <c r="C86" s="162">
        <v>0.47810000000000002</v>
      </c>
      <c r="D86" s="162">
        <v>0</v>
      </c>
      <c r="E86" s="162">
        <v>0</v>
      </c>
      <c r="F86" s="162">
        <v>0.5917</v>
      </c>
      <c r="G86" s="162">
        <v>0</v>
      </c>
      <c r="H86" s="162">
        <v>0.3861</v>
      </c>
      <c r="I86" s="162">
        <v>0.4289</v>
      </c>
      <c r="J86" s="162">
        <v>0</v>
      </c>
      <c r="K86" s="162">
        <v>0</v>
      </c>
      <c r="L86" s="162">
        <v>1</v>
      </c>
      <c r="M86" s="162">
        <v>1</v>
      </c>
      <c r="N86" s="162">
        <v>5.1700000000000003E-2</v>
      </c>
      <c r="O86" s="162">
        <v>1</v>
      </c>
      <c r="P86" s="162">
        <v>0</v>
      </c>
      <c r="Q86" s="162">
        <v>1</v>
      </c>
      <c r="R86" s="162">
        <v>1</v>
      </c>
      <c r="S86" s="162">
        <v>1</v>
      </c>
      <c r="T86" s="162">
        <v>1</v>
      </c>
      <c r="U86" s="162">
        <v>0.18709999999999999</v>
      </c>
      <c r="V86" s="162">
        <v>0.60429999999999995</v>
      </c>
      <c r="W86" s="162">
        <v>0</v>
      </c>
      <c r="X86" s="162">
        <v>0</v>
      </c>
      <c r="Y86" s="162">
        <v>0</v>
      </c>
      <c r="Z86" s="162">
        <v>0</v>
      </c>
      <c r="AA86" s="162">
        <v>1</v>
      </c>
      <c r="AB86" s="162">
        <v>0.21590000000000001</v>
      </c>
      <c r="AC86" s="162">
        <v>0.18679999999999999</v>
      </c>
      <c r="AE86" s="98" t="s">
        <v>242</v>
      </c>
      <c r="AF86" s="99"/>
    </row>
    <row r="87" spans="1:32" ht="15.75" customHeight="1" x14ac:dyDescent="0.35">
      <c r="A87" s="117" t="s">
        <v>265</v>
      </c>
      <c r="B87" s="109" t="s">
        <v>260</v>
      </c>
      <c r="C87" s="162">
        <v>0.40129999999999999</v>
      </c>
      <c r="D87" s="162">
        <v>0.42330000000000001</v>
      </c>
      <c r="E87" s="162">
        <v>0.32950000000000002</v>
      </c>
      <c r="F87" s="162">
        <v>0.3301</v>
      </c>
      <c r="G87" s="162">
        <v>0.59030000000000005</v>
      </c>
      <c r="H87" s="162">
        <v>0.64739999999999998</v>
      </c>
      <c r="I87" s="162">
        <v>0.3669</v>
      </c>
      <c r="J87" s="162">
        <v>0.25309999999999999</v>
      </c>
      <c r="K87" s="162">
        <v>0.1963</v>
      </c>
      <c r="L87" s="162">
        <v>0.37959999999999999</v>
      </c>
      <c r="M87" s="162">
        <v>0.50649999999999995</v>
      </c>
      <c r="N87" s="162">
        <v>0.37809999999999999</v>
      </c>
      <c r="O87" s="162">
        <v>0.55810000000000004</v>
      </c>
      <c r="P87" s="162">
        <v>0.44640000000000002</v>
      </c>
      <c r="Q87" s="162">
        <v>0.37569999999999998</v>
      </c>
      <c r="R87" s="162">
        <v>0.434</v>
      </c>
      <c r="S87" s="162">
        <v>0.4894</v>
      </c>
      <c r="T87" s="162">
        <v>0.48899999999999999</v>
      </c>
      <c r="U87" s="162">
        <v>0.34279999999999999</v>
      </c>
      <c r="V87" s="162">
        <v>0.52129999999999999</v>
      </c>
      <c r="W87" s="162">
        <v>0.50439999999999996</v>
      </c>
      <c r="X87" s="162">
        <v>0.23980000000000001</v>
      </c>
      <c r="Y87" s="162">
        <v>0.71299999999999997</v>
      </c>
      <c r="Z87" s="162">
        <v>0.2278</v>
      </c>
      <c r="AA87" s="162">
        <v>0.35060000000000002</v>
      </c>
      <c r="AB87" s="162">
        <v>0.47760000000000002</v>
      </c>
      <c r="AC87" s="162">
        <v>0.23599999999999999</v>
      </c>
      <c r="AE87" s="98" t="s">
        <v>242</v>
      </c>
      <c r="AF87" s="99"/>
    </row>
    <row r="88" spans="1:32" ht="15.75" customHeight="1" x14ac:dyDescent="0.35">
      <c r="A88" s="111"/>
      <c r="B88" s="109" t="s">
        <v>262</v>
      </c>
      <c r="C88" s="162">
        <v>0.38869999999999999</v>
      </c>
      <c r="D88" s="162">
        <v>0.5131</v>
      </c>
      <c r="E88" s="162">
        <v>0.32340000000000002</v>
      </c>
      <c r="F88" s="162">
        <v>0.35260000000000002</v>
      </c>
      <c r="G88" s="162">
        <v>0.50649999999999995</v>
      </c>
      <c r="H88" s="162">
        <v>0.55159999999999998</v>
      </c>
      <c r="I88" s="162">
        <v>0.49919999999999998</v>
      </c>
      <c r="J88" s="162">
        <v>0.34810000000000002</v>
      </c>
      <c r="K88" s="162">
        <v>0.29759999999999998</v>
      </c>
      <c r="L88" s="162">
        <v>0.26629999999999998</v>
      </c>
      <c r="M88" s="162">
        <v>0.46050000000000002</v>
      </c>
      <c r="N88" s="162">
        <v>0.44519999999999998</v>
      </c>
      <c r="O88" s="162">
        <v>0.51690000000000003</v>
      </c>
      <c r="P88" s="162">
        <v>0.32240000000000002</v>
      </c>
      <c r="Q88" s="162">
        <v>0.49709999999999999</v>
      </c>
      <c r="R88" s="162">
        <v>0.38569999999999999</v>
      </c>
      <c r="S88" s="162">
        <v>0.37790000000000001</v>
      </c>
      <c r="T88" s="162">
        <v>0.48549999999999999</v>
      </c>
      <c r="U88" s="162">
        <v>0.29549999999999998</v>
      </c>
      <c r="V88" s="162">
        <v>0.55479999999999996</v>
      </c>
      <c r="W88" s="162">
        <v>0.45900000000000002</v>
      </c>
      <c r="X88" s="162">
        <v>0.1951</v>
      </c>
      <c r="Y88" s="162">
        <v>0.36870000000000003</v>
      </c>
      <c r="Z88" s="162">
        <v>0.35370000000000001</v>
      </c>
      <c r="AA88" s="162">
        <v>0.28860000000000002</v>
      </c>
      <c r="AB88" s="162">
        <v>0.41110000000000002</v>
      </c>
      <c r="AC88" s="162">
        <v>0.25619999999999998</v>
      </c>
      <c r="AE88" s="98" t="s">
        <v>242</v>
      </c>
      <c r="AF88" s="99"/>
    </row>
    <row r="89" spans="1:32" ht="15.75" customHeight="1" x14ac:dyDescent="0.35">
      <c r="A89" s="106"/>
      <c r="B89" s="109" t="s">
        <v>263</v>
      </c>
      <c r="C89" s="162">
        <v>0.3826</v>
      </c>
      <c r="D89" s="162">
        <v>0.45290000000000002</v>
      </c>
      <c r="E89" s="162">
        <v>0.26979999999999998</v>
      </c>
      <c r="F89" s="162">
        <v>0.32390000000000002</v>
      </c>
      <c r="G89" s="162">
        <v>0.53420000000000001</v>
      </c>
      <c r="H89" s="162">
        <v>0.51670000000000005</v>
      </c>
      <c r="I89" s="162">
        <v>0.49409999999999998</v>
      </c>
      <c r="J89" s="162">
        <v>0.41299999999999998</v>
      </c>
      <c r="K89" s="162">
        <v>0.3095</v>
      </c>
      <c r="L89" s="162">
        <v>0.22670000000000001</v>
      </c>
      <c r="M89" s="162">
        <v>0.42359999999999998</v>
      </c>
      <c r="N89" s="162">
        <v>0.40160000000000001</v>
      </c>
      <c r="O89" s="162">
        <v>0.53210000000000002</v>
      </c>
      <c r="P89" s="162">
        <v>0.40050000000000002</v>
      </c>
      <c r="Q89" s="162">
        <v>0.45029999999999998</v>
      </c>
      <c r="R89" s="162">
        <v>0.3614</v>
      </c>
      <c r="S89" s="162">
        <v>0.44</v>
      </c>
      <c r="T89" s="162">
        <v>0.41149999999999998</v>
      </c>
      <c r="U89" s="162">
        <v>0.37930000000000003</v>
      </c>
      <c r="V89" s="162">
        <v>0.60309999999999997</v>
      </c>
      <c r="W89" s="162">
        <v>0.56010000000000004</v>
      </c>
      <c r="X89" s="162">
        <v>0.18820000000000001</v>
      </c>
      <c r="Y89" s="162">
        <v>0.46439999999999998</v>
      </c>
      <c r="Z89" s="162">
        <v>0.3286</v>
      </c>
      <c r="AA89" s="162">
        <v>0.28999999999999998</v>
      </c>
      <c r="AB89" s="162">
        <v>0.33929999999999999</v>
      </c>
      <c r="AC89" s="162">
        <v>0.1913</v>
      </c>
      <c r="AE89" s="98" t="s">
        <v>242</v>
      </c>
      <c r="AF89" s="99"/>
    </row>
    <row r="90" spans="1:32" ht="15.75" customHeight="1" x14ac:dyDescent="0.35">
      <c r="A90" s="106"/>
      <c r="B90" s="109" t="s">
        <v>264</v>
      </c>
      <c r="C90" s="162">
        <v>0.3478</v>
      </c>
      <c r="D90" s="162">
        <v>0.42659999999999998</v>
      </c>
      <c r="E90" s="162">
        <v>0.1656</v>
      </c>
      <c r="F90" s="162">
        <v>0.41760000000000003</v>
      </c>
      <c r="G90" s="162">
        <v>0.45290000000000002</v>
      </c>
      <c r="H90" s="162">
        <v>0.43390000000000001</v>
      </c>
      <c r="I90" s="162">
        <v>0.34699999999999998</v>
      </c>
      <c r="J90" s="162">
        <v>0.39979999999999999</v>
      </c>
      <c r="K90" s="162">
        <v>0.19570000000000001</v>
      </c>
      <c r="L90" s="162">
        <v>0.19539999999999999</v>
      </c>
      <c r="M90" s="162">
        <v>0.39460000000000001</v>
      </c>
      <c r="N90" s="162">
        <v>0.38030000000000003</v>
      </c>
      <c r="O90" s="162">
        <v>0.41639999999999999</v>
      </c>
      <c r="P90" s="162">
        <v>0.38800000000000001</v>
      </c>
      <c r="Q90" s="162">
        <v>0.41360000000000002</v>
      </c>
      <c r="R90" s="162">
        <v>0.34139999999999998</v>
      </c>
      <c r="S90" s="162">
        <v>0.33189999999999997</v>
      </c>
      <c r="T90" s="162">
        <v>0.42599999999999999</v>
      </c>
      <c r="U90" s="162">
        <v>0.20949999999999999</v>
      </c>
      <c r="V90" s="162">
        <v>0.50800000000000001</v>
      </c>
      <c r="W90" s="162">
        <v>0.42770000000000002</v>
      </c>
      <c r="X90" s="162">
        <v>0.20669999999999999</v>
      </c>
      <c r="Y90" s="162">
        <v>0.62180000000000002</v>
      </c>
      <c r="Z90" s="162">
        <v>0.32900000000000001</v>
      </c>
      <c r="AA90" s="162">
        <v>0.29649999999999999</v>
      </c>
      <c r="AB90" s="162">
        <v>0.38429999999999997</v>
      </c>
      <c r="AC90" s="162">
        <v>0.19439999999999999</v>
      </c>
      <c r="AE90" s="98" t="s">
        <v>242</v>
      </c>
      <c r="AF90" s="99"/>
    </row>
    <row r="91" spans="1:32" ht="15.75" customHeight="1" x14ac:dyDescent="0.35">
      <c r="A91" s="106"/>
      <c r="B91" s="109"/>
      <c r="C91" s="98"/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8"/>
      <c r="S91" s="98"/>
      <c r="T91" s="98"/>
      <c r="U91" s="98"/>
      <c r="V91" s="98"/>
      <c r="W91" s="98"/>
      <c r="X91" s="98"/>
      <c r="Y91" s="98"/>
      <c r="Z91" s="98"/>
      <c r="AA91" s="98"/>
      <c r="AB91" s="98"/>
      <c r="AC91" s="98"/>
      <c r="AE91" s="98"/>
      <c r="AF91" s="99"/>
    </row>
    <row r="92" spans="1:32" ht="15.75" customHeight="1" x14ac:dyDescent="0.35">
      <c r="A92" s="106"/>
      <c r="B92" s="109"/>
      <c r="C92" s="98"/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8"/>
      <c r="S92" s="98"/>
      <c r="T92" s="98"/>
      <c r="U92" s="98"/>
      <c r="V92" s="98"/>
      <c r="W92" s="98"/>
      <c r="X92" s="98"/>
      <c r="Y92" s="98"/>
      <c r="Z92" s="98"/>
      <c r="AA92" s="98"/>
      <c r="AB92" s="98"/>
      <c r="AC92" s="98"/>
      <c r="AE92" s="98"/>
      <c r="AF92" s="99"/>
    </row>
    <row r="93" spans="1:32" ht="15.75" customHeight="1" x14ac:dyDescent="0.35">
      <c r="A93" s="106"/>
      <c r="B93" s="109"/>
      <c r="C93" s="98"/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98"/>
      <c r="T93" s="98"/>
      <c r="U93" s="98"/>
      <c r="V93" s="98"/>
      <c r="W93" s="98"/>
      <c r="X93" s="98"/>
      <c r="Y93" s="98"/>
      <c r="Z93" s="98"/>
      <c r="AA93" s="98"/>
      <c r="AB93" s="98"/>
      <c r="AC93" s="98"/>
      <c r="AE93" s="98"/>
      <c r="AF93" s="99"/>
    </row>
    <row r="94" spans="1:32" ht="15.75" customHeight="1" x14ac:dyDescent="0.35">
      <c r="A94" s="106"/>
      <c r="B94" s="109"/>
      <c r="C94" s="98"/>
      <c r="D94" s="98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8"/>
      <c r="S94" s="98"/>
      <c r="T94" s="98"/>
      <c r="U94" s="98"/>
      <c r="V94" s="98"/>
      <c r="W94" s="98"/>
      <c r="X94" s="98"/>
      <c r="Y94" s="98"/>
      <c r="Z94" s="98"/>
      <c r="AA94" s="98"/>
      <c r="AB94" s="98"/>
      <c r="AC94" s="98"/>
      <c r="AE94" s="98"/>
      <c r="AF94" s="99"/>
    </row>
    <row r="95" spans="1:32" ht="15.75" customHeight="1" x14ac:dyDescent="0.35">
      <c r="A95" s="106"/>
      <c r="B95" s="109"/>
      <c r="C95" s="109"/>
      <c r="D95" s="98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98"/>
      <c r="S95" s="98"/>
      <c r="T95" s="98"/>
      <c r="U95" s="98"/>
      <c r="V95" s="98"/>
      <c r="W95" s="98"/>
      <c r="X95" s="98"/>
      <c r="Y95" s="98"/>
      <c r="Z95" s="98"/>
      <c r="AA95" s="98"/>
      <c r="AB95" s="98"/>
      <c r="AC95" s="98"/>
      <c r="AD95" s="98"/>
      <c r="AE95" s="98"/>
      <c r="AF95" s="99"/>
    </row>
    <row r="96" spans="1:32" ht="15.75" customHeight="1" x14ac:dyDescent="0.25">
      <c r="A96" s="106"/>
    </row>
    <row r="97" spans="1:13" ht="15.75" customHeight="1" x14ac:dyDescent="0.25">
      <c r="A97" s="106"/>
    </row>
    <row r="107" spans="1:13" ht="15.75" customHeight="1" x14ac:dyDescent="0.25">
      <c r="B107" s="174"/>
      <c r="C107" s="174"/>
      <c r="D107" s="174"/>
      <c r="E107" s="175"/>
      <c r="F107" s="174"/>
      <c r="G107" s="175"/>
      <c r="H107" s="174"/>
      <c r="I107" s="175"/>
      <c r="J107" s="15"/>
      <c r="L107" s="15"/>
    </row>
    <row r="108" spans="1:13" ht="15.75" customHeight="1" x14ac:dyDescent="0.3">
      <c r="A108" s="4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</row>
    <row r="109" spans="1:13" ht="15.75" customHeight="1" x14ac:dyDescent="0.25">
      <c r="B109" s="125"/>
      <c r="D109" s="125"/>
      <c r="F109" s="125"/>
      <c r="H109" s="125"/>
      <c r="J109" s="125"/>
      <c r="L109" s="125"/>
      <c r="M109" s="98"/>
    </row>
    <row r="110" spans="1:13" ht="15.75" customHeight="1" x14ac:dyDescent="0.25">
      <c r="B110" s="125"/>
      <c r="D110" s="125"/>
      <c r="F110" s="125"/>
      <c r="H110" s="125"/>
      <c r="J110" s="125"/>
      <c r="L110" s="125"/>
      <c r="M110" s="98"/>
    </row>
    <row r="111" spans="1:13" ht="15.75" customHeight="1" x14ac:dyDescent="0.25">
      <c r="B111" s="125"/>
      <c r="D111" s="125"/>
      <c r="F111" s="125"/>
      <c r="H111" s="125"/>
      <c r="J111" s="125"/>
      <c r="L111" s="125"/>
      <c r="M111" s="98"/>
    </row>
    <row r="112" spans="1:13" ht="15.75" customHeight="1" x14ac:dyDescent="0.25">
      <c r="B112" s="125"/>
      <c r="D112" s="125"/>
      <c r="F112" s="125"/>
      <c r="H112" s="125"/>
      <c r="J112" s="125"/>
      <c r="L112" s="125"/>
      <c r="M112" s="98"/>
    </row>
    <row r="113" spans="2:13" ht="15.75" customHeight="1" x14ac:dyDescent="0.25">
      <c r="B113" s="125"/>
      <c r="D113" s="125"/>
      <c r="F113" s="125"/>
      <c r="H113" s="125"/>
      <c r="J113" s="125"/>
      <c r="L113" s="125"/>
      <c r="M113" s="98"/>
    </row>
    <row r="114" spans="2:13" ht="15.75" customHeight="1" x14ac:dyDescent="0.25">
      <c r="B114" s="125"/>
      <c r="D114" s="125"/>
      <c r="F114" s="125"/>
      <c r="H114" s="125"/>
      <c r="J114" s="125"/>
      <c r="L114" s="125"/>
      <c r="M114" s="98"/>
    </row>
    <row r="115" spans="2:13" ht="15.75" customHeight="1" x14ac:dyDescent="0.25">
      <c r="B115" s="125"/>
      <c r="D115" s="125"/>
      <c r="F115" s="125"/>
      <c r="H115" s="125"/>
      <c r="J115" s="125"/>
      <c r="L115" s="125"/>
      <c r="M115" s="98"/>
    </row>
    <row r="116" spans="2:13" ht="15.75" customHeight="1" x14ac:dyDescent="0.25">
      <c r="B116" s="125"/>
      <c r="D116" s="125"/>
      <c r="F116" s="125"/>
      <c r="H116" s="125"/>
      <c r="J116" s="125"/>
      <c r="L116" s="125"/>
      <c r="M116" s="98"/>
    </row>
    <row r="117" spans="2:13" ht="15.75" customHeight="1" x14ac:dyDescent="0.25">
      <c r="B117" s="125"/>
      <c r="D117" s="125"/>
      <c r="F117" s="125"/>
      <c r="H117" s="125"/>
      <c r="J117" s="125"/>
      <c r="L117" s="125"/>
      <c r="M117" s="98"/>
    </row>
    <row r="118" spans="2:13" ht="15.75" customHeight="1" x14ac:dyDescent="0.25">
      <c r="B118" s="125"/>
      <c r="D118" s="125"/>
      <c r="F118" s="125"/>
      <c r="H118" s="125"/>
      <c r="J118" s="125"/>
      <c r="L118" s="125"/>
      <c r="M118" s="98"/>
    </row>
    <row r="119" spans="2:13" ht="15.75" customHeight="1" x14ac:dyDescent="0.25">
      <c r="B119" s="125"/>
      <c r="D119" s="125"/>
      <c r="F119" s="125"/>
      <c r="H119" s="125"/>
      <c r="J119" s="125"/>
      <c r="L119" s="125"/>
      <c r="M119" s="98"/>
    </row>
    <row r="120" spans="2:13" ht="15.75" customHeight="1" x14ac:dyDescent="0.25">
      <c r="B120" s="125"/>
      <c r="D120" s="125"/>
      <c r="F120" s="125"/>
      <c r="H120" s="125"/>
      <c r="J120" s="125"/>
      <c r="L120" s="125"/>
      <c r="M120" s="98"/>
    </row>
    <row r="121" spans="2:13" ht="15.75" customHeight="1" x14ac:dyDescent="0.25">
      <c r="B121" s="125"/>
      <c r="D121" s="125"/>
      <c r="F121" s="125"/>
      <c r="H121" s="125"/>
      <c r="J121" s="125"/>
      <c r="L121" s="125"/>
      <c r="M121" s="98"/>
    </row>
    <row r="122" spans="2:13" ht="15.75" customHeight="1" x14ac:dyDescent="0.25">
      <c r="B122" s="125"/>
      <c r="D122" s="125"/>
      <c r="F122" s="125"/>
      <c r="H122" s="125"/>
      <c r="J122" s="125"/>
      <c r="L122" s="125"/>
      <c r="M122" s="98"/>
    </row>
    <row r="123" spans="2:13" ht="15.75" customHeight="1" x14ac:dyDescent="0.25">
      <c r="B123" s="125"/>
      <c r="D123" s="125"/>
      <c r="F123" s="125"/>
      <c r="H123" s="125"/>
      <c r="J123" s="125"/>
      <c r="L123" s="125"/>
      <c r="M123" s="98"/>
    </row>
    <row r="124" spans="2:13" ht="15.75" customHeight="1" x14ac:dyDescent="0.25">
      <c r="B124" s="125"/>
      <c r="D124" s="125"/>
      <c r="F124" s="125"/>
      <c r="H124" s="125"/>
      <c r="J124" s="125"/>
      <c r="L124" s="125"/>
      <c r="M124" s="98"/>
    </row>
    <row r="125" spans="2:13" ht="15.75" customHeight="1" x14ac:dyDescent="0.25">
      <c r="B125" s="125"/>
      <c r="D125" s="125"/>
      <c r="F125" s="125"/>
      <c r="H125" s="125"/>
      <c r="J125" s="125"/>
      <c r="L125" s="125"/>
      <c r="M125" s="98"/>
    </row>
    <row r="126" spans="2:13" ht="15.75" customHeight="1" x14ac:dyDescent="0.25">
      <c r="B126" s="125"/>
      <c r="D126" s="125"/>
      <c r="F126" s="125"/>
      <c r="H126" s="125"/>
      <c r="J126" s="125"/>
      <c r="L126" s="125"/>
      <c r="M126" s="98"/>
    </row>
    <row r="127" spans="2:13" ht="15.75" customHeight="1" x14ac:dyDescent="0.25">
      <c r="B127" s="125"/>
      <c r="D127" s="125"/>
      <c r="F127" s="125"/>
      <c r="H127" s="125"/>
      <c r="J127" s="125"/>
      <c r="L127" s="125"/>
      <c r="M127" s="98"/>
    </row>
    <row r="128" spans="2:13" ht="15.75" customHeight="1" x14ac:dyDescent="0.25">
      <c r="B128" s="125"/>
      <c r="D128" s="125"/>
      <c r="F128" s="125"/>
      <c r="H128" s="125"/>
      <c r="J128" s="125"/>
      <c r="L128" s="125"/>
      <c r="M128" s="98"/>
    </row>
    <row r="129" spans="2:13" ht="15.75" customHeight="1" x14ac:dyDescent="0.25">
      <c r="B129" s="125"/>
      <c r="D129" s="125"/>
      <c r="F129" s="125"/>
      <c r="H129" s="125"/>
      <c r="J129" s="125"/>
      <c r="L129" s="125"/>
      <c r="M129" s="98"/>
    </row>
    <row r="130" spans="2:13" ht="15.75" customHeight="1" x14ac:dyDescent="0.25">
      <c r="B130" s="125"/>
      <c r="D130" s="125"/>
      <c r="F130" s="125"/>
      <c r="H130" s="125"/>
      <c r="J130" s="125"/>
      <c r="L130" s="125"/>
      <c r="M130" s="98"/>
    </row>
    <row r="131" spans="2:13" ht="15.75" customHeight="1" x14ac:dyDescent="0.25">
      <c r="B131" s="125"/>
      <c r="D131" s="125"/>
      <c r="F131" s="125"/>
      <c r="H131" s="125"/>
      <c r="J131" s="125"/>
      <c r="L131" s="125"/>
      <c r="M131" s="98"/>
    </row>
    <row r="132" spans="2:13" ht="15.75" customHeight="1" x14ac:dyDescent="0.25">
      <c r="B132" s="125"/>
      <c r="D132" s="125"/>
      <c r="F132" s="125"/>
      <c r="H132" s="125"/>
      <c r="J132" s="125"/>
      <c r="L132" s="125"/>
      <c r="M132" s="98"/>
    </row>
    <row r="133" spans="2:13" ht="15.75" customHeight="1" x14ac:dyDescent="0.25">
      <c r="B133" s="125"/>
      <c r="D133" s="125"/>
      <c r="F133" s="125"/>
      <c r="H133" s="125"/>
      <c r="J133" s="125"/>
      <c r="L133" s="125"/>
      <c r="M133" s="98"/>
    </row>
    <row r="134" spans="2:13" ht="15.75" customHeight="1" x14ac:dyDescent="0.25">
      <c r="B134" s="125"/>
      <c r="D134" s="125"/>
      <c r="F134" s="125"/>
      <c r="H134" s="125"/>
      <c r="J134" s="125"/>
      <c r="L134" s="125"/>
      <c r="M134" s="98"/>
    </row>
    <row r="135" spans="2:13" ht="15.75" customHeight="1" x14ac:dyDescent="0.25">
      <c r="J135" s="125"/>
      <c r="L135" s="125"/>
      <c r="M135" s="98"/>
    </row>
    <row r="167" spans="14:14" ht="15.75" customHeight="1" x14ac:dyDescent="0.25">
      <c r="N167">
        <v>30</v>
      </c>
    </row>
  </sheetData>
  <mergeCells count="9">
    <mergeCell ref="B107:C107"/>
    <mergeCell ref="D107:E107"/>
    <mergeCell ref="F107:G107"/>
    <mergeCell ref="H107:I107"/>
    <mergeCell ref="H2:H5"/>
    <mergeCell ref="H8:H11"/>
    <mergeCell ref="C16:G16"/>
    <mergeCell ref="H16:O16"/>
    <mergeCell ref="H17:O17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H5"/>
  <sheetViews>
    <sheetView zoomScale="89" zoomScaleNormal="60" workbookViewId="0">
      <selection activeCell="C16" sqref="C16"/>
    </sheetView>
  </sheetViews>
  <sheetFormatPr defaultColWidth="8.81640625" defaultRowHeight="12.5" x14ac:dyDescent="0.25"/>
  <cols>
    <col min="1" max="1" width="28.81640625" customWidth="1"/>
    <col min="2" max="7" width="13.36328125" customWidth="1"/>
    <col min="8" max="8" width="16.08984375" bestFit="1" customWidth="1"/>
  </cols>
  <sheetData>
    <row r="1" spans="1:8" ht="40.5" customHeight="1" x14ac:dyDescent="0.3">
      <c r="A1" s="31" t="str">
        <f>"Percentage of children in each category in baseline year ("&amp;start_year&amp;")"</f>
        <v>Percentage of children in each category in baseline year (2017)</v>
      </c>
      <c r="B1" s="1" t="s">
        <v>6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86" t="s">
        <v>204</v>
      </c>
    </row>
    <row r="2" spans="1:8" x14ac:dyDescent="0.25">
      <c r="A2" s="3" t="s">
        <v>24</v>
      </c>
      <c r="B2" s="50" t="s">
        <v>166</v>
      </c>
      <c r="C2" s="149">
        <v>0.74815129999999996</v>
      </c>
      <c r="D2" s="149">
        <v>0.43913570000000002</v>
      </c>
      <c r="E2" s="149"/>
      <c r="F2" s="149"/>
      <c r="G2" s="149"/>
      <c r="H2" s="172" t="s">
        <v>207</v>
      </c>
    </row>
    <row r="3" spans="1:8" x14ac:dyDescent="0.25">
      <c r="B3" s="50" t="s">
        <v>167</v>
      </c>
      <c r="C3" s="163">
        <v>0.25184869999999998</v>
      </c>
      <c r="D3" s="163">
        <v>0.3333198</v>
      </c>
      <c r="E3" s="163"/>
      <c r="F3" s="163"/>
      <c r="G3" s="163"/>
      <c r="H3" s="172"/>
    </row>
    <row r="4" spans="1:8" x14ac:dyDescent="0.25">
      <c r="B4" s="50" t="s">
        <v>168</v>
      </c>
      <c r="C4" s="163">
        <v>0</v>
      </c>
      <c r="D4" s="163">
        <v>0.22754450000000001</v>
      </c>
      <c r="E4" s="152">
        <v>0.99308859999999999</v>
      </c>
      <c r="F4" s="152">
        <v>0.81574480000000005</v>
      </c>
      <c r="G4" s="152">
        <v>0.28048299999999998</v>
      </c>
      <c r="H4" s="172"/>
    </row>
    <row r="5" spans="1:8" x14ac:dyDescent="0.25">
      <c r="B5" s="50" t="s">
        <v>169</v>
      </c>
      <c r="C5" s="37">
        <f>1-SUM(C2:C4)</f>
        <v>0</v>
      </c>
      <c r="D5" s="37">
        <f t="shared" ref="D5:G5" si="0">1-SUM(D2:D4)</f>
        <v>0</v>
      </c>
      <c r="E5" s="37">
        <f t="shared" si="0"/>
        <v>6.911400000000012E-3</v>
      </c>
      <c r="F5" s="37">
        <f t="shared" si="0"/>
        <v>0.18425519999999995</v>
      </c>
      <c r="G5" s="37">
        <f t="shared" si="0"/>
        <v>0.71951699999999996</v>
      </c>
      <c r="H5" s="172"/>
    </row>
  </sheetData>
  <mergeCells count="1">
    <mergeCell ref="H2:H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60" zoomScaleNormal="60" workbookViewId="0">
      <selection activeCell="G35" sqref="G35"/>
    </sheetView>
  </sheetViews>
  <sheetFormatPr defaultColWidth="8.81640625" defaultRowHeight="12.5" x14ac:dyDescent="0.25"/>
  <cols>
    <col min="1" max="1" width="37" customWidth="1"/>
    <col min="2" max="2" width="29.36328125" customWidth="1"/>
  </cols>
  <sheetData>
    <row r="1" spans="1:11" ht="13" x14ac:dyDescent="0.3">
      <c r="A1" s="4" t="s">
        <v>139</v>
      </c>
      <c r="B1" s="4" t="s">
        <v>146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140</v>
      </c>
      <c r="B2" s="17" t="s">
        <v>144</v>
      </c>
      <c r="C2" s="32"/>
      <c r="D2" s="32"/>
      <c r="E2" s="32"/>
      <c r="F2" s="32"/>
      <c r="G2" s="32"/>
      <c r="H2" s="32"/>
      <c r="I2" s="32"/>
      <c r="J2" s="32"/>
      <c r="K2" s="32"/>
    </row>
    <row r="3" spans="1:11" x14ac:dyDescent="0.25">
      <c r="B3" s="17"/>
    </row>
    <row r="4" spans="1:11" x14ac:dyDescent="0.25">
      <c r="A4" t="s">
        <v>141</v>
      </c>
      <c r="B4" s="17" t="s">
        <v>144</v>
      </c>
      <c r="C4" s="32"/>
      <c r="D4" s="32"/>
      <c r="E4" s="32"/>
      <c r="F4" s="32"/>
      <c r="G4" s="32"/>
      <c r="H4" s="32"/>
      <c r="I4" s="32"/>
      <c r="J4" s="32"/>
      <c r="K4" s="32"/>
    </row>
    <row r="5" spans="1:11" x14ac:dyDescent="0.25">
      <c r="B5" s="17"/>
    </row>
    <row r="6" spans="1:11" x14ac:dyDescent="0.25">
      <c r="A6" t="s">
        <v>142</v>
      </c>
      <c r="B6" s="17" t="s">
        <v>144</v>
      </c>
      <c r="C6" s="32"/>
      <c r="D6" s="32"/>
      <c r="E6" s="32"/>
      <c r="F6" s="32"/>
      <c r="G6" s="32"/>
      <c r="H6" s="32"/>
      <c r="I6" s="32"/>
      <c r="J6" s="32"/>
      <c r="K6" s="32"/>
    </row>
    <row r="7" spans="1:11" x14ac:dyDescent="0.25">
      <c r="B7" s="17" t="s">
        <v>32</v>
      </c>
      <c r="C7" s="32"/>
      <c r="D7" s="32"/>
      <c r="E7" s="32"/>
      <c r="F7" s="32"/>
      <c r="G7" s="32"/>
      <c r="H7" s="32"/>
      <c r="I7" s="32"/>
      <c r="J7" s="32"/>
      <c r="K7" s="32"/>
    </row>
    <row r="8" spans="1:11" x14ac:dyDescent="0.25">
      <c r="B8" s="17" t="s">
        <v>145</v>
      </c>
      <c r="C8" s="32"/>
      <c r="D8" s="32"/>
      <c r="E8" s="32"/>
      <c r="F8" s="32"/>
      <c r="G8" s="32"/>
      <c r="H8" s="32"/>
      <c r="I8" s="32"/>
      <c r="J8" s="32"/>
      <c r="K8" s="32"/>
    </row>
    <row r="10" spans="1:11" x14ac:dyDescent="0.25">
      <c r="A10" t="s">
        <v>143</v>
      </c>
      <c r="B10" s="19" t="s">
        <v>148</v>
      </c>
      <c r="C10" s="32"/>
      <c r="D10" s="32"/>
      <c r="E10" s="32"/>
      <c r="F10" s="32"/>
      <c r="G10" s="32"/>
      <c r="H10" s="32"/>
      <c r="I10" s="32"/>
      <c r="J10" s="32"/>
      <c r="K10" s="32"/>
    </row>
    <row r="11" spans="1:11" x14ac:dyDescent="0.25">
      <c r="B11" s="39" t="s">
        <v>147</v>
      </c>
      <c r="C11" s="32"/>
      <c r="D11" s="32"/>
      <c r="E11" s="32"/>
      <c r="F11" s="32"/>
      <c r="G11" s="32"/>
      <c r="H11" s="32"/>
      <c r="I11" s="32"/>
      <c r="J11" s="32"/>
      <c r="K11" s="32"/>
    </row>
    <row r="13" spans="1:11" x14ac:dyDescent="0.25">
      <c r="A13" s="15" t="s">
        <v>74</v>
      </c>
      <c r="B13" s="39" t="s">
        <v>149</v>
      </c>
      <c r="C13" s="32"/>
      <c r="D13" s="32"/>
      <c r="E13" s="32"/>
      <c r="F13" s="32"/>
      <c r="G13" s="32"/>
      <c r="H13" s="32"/>
      <c r="I13" s="32"/>
      <c r="J13" s="32"/>
      <c r="K13" s="32"/>
    </row>
    <row r="14" spans="1:11" x14ac:dyDescent="0.25">
      <c r="B14" s="19" t="s">
        <v>170</v>
      </c>
      <c r="C14" s="32"/>
      <c r="D14" s="32"/>
      <c r="E14" s="32"/>
      <c r="F14" s="32"/>
      <c r="G14" s="32"/>
      <c r="H14" s="32"/>
      <c r="I14" s="32"/>
      <c r="J14" s="32"/>
      <c r="K14" s="3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60" zoomScaleNormal="60" workbookViewId="0">
      <selection activeCell="J1" sqref="J1"/>
    </sheetView>
  </sheetViews>
  <sheetFormatPr defaultColWidth="11.36328125" defaultRowHeight="12.5" x14ac:dyDescent="0.25"/>
  <cols>
    <col min="1" max="1" width="17" style="42" customWidth="1"/>
    <col min="2" max="2" width="19.08984375" style="42" customWidth="1"/>
    <col min="3" max="3" width="13.36328125" style="42" customWidth="1"/>
    <col min="4" max="16384" width="11.36328125" style="42"/>
  </cols>
  <sheetData>
    <row r="1" spans="1:5" ht="13" x14ac:dyDescent="0.3">
      <c r="A1" s="55" t="s">
        <v>177</v>
      </c>
      <c r="B1" s="56" t="s">
        <v>176</v>
      </c>
      <c r="C1" s="56" t="s">
        <v>175</v>
      </c>
      <c r="D1" s="56" t="s">
        <v>174</v>
      </c>
      <c r="E1" s="56" t="s">
        <v>173</v>
      </c>
    </row>
    <row r="2" spans="1:5" ht="13" x14ac:dyDescent="0.3">
      <c r="A2" s="54" t="s">
        <v>172</v>
      </c>
      <c r="B2" s="51" t="s">
        <v>32</v>
      </c>
      <c r="C2" s="75"/>
      <c r="D2" s="75" t="b">
        <v>1</v>
      </c>
      <c r="E2" s="76" t="b">
        <f>IF(E$7="","",E$7)</f>
        <v>1</v>
      </c>
    </row>
    <row r="3" spans="1:5" x14ac:dyDescent="0.25">
      <c r="A3" s="52"/>
      <c r="B3" s="51" t="s">
        <v>1</v>
      </c>
      <c r="C3" s="75"/>
      <c r="D3" s="75" t="b">
        <v>1</v>
      </c>
      <c r="E3" s="76" t="b">
        <f>IF(E$7="","",E$7)</f>
        <v>1</v>
      </c>
    </row>
    <row r="4" spans="1:5" x14ac:dyDescent="0.25">
      <c r="A4" s="52"/>
      <c r="B4" s="51" t="s">
        <v>2</v>
      </c>
      <c r="C4" s="75"/>
      <c r="D4" s="75" t="b">
        <v>1</v>
      </c>
      <c r="E4" s="76" t="b">
        <f>IF(E$7="","",E$7)</f>
        <v>1</v>
      </c>
    </row>
    <row r="5" spans="1:5" x14ac:dyDescent="0.25">
      <c r="A5" s="52"/>
      <c r="B5" s="51" t="s">
        <v>3</v>
      </c>
      <c r="C5" s="75"/>
      <c r="D5" s="75" t="b">
        <v>1</v>
      </c>
      <c r="E5" s="76" t="b">
        <f>IF(E$7="","",E$7)</f>
        <v>1</v>
      </c>
    </row>
    <row r="6" spans="1:5" x14ac:dyDescent="0.25">
      <c r="A6" s="52"/>
      <c r="B6" s="51" t="s">
        <v>4</v>
      </c>
      <c r="C6" s="75"/>
      <c r="D6" s="75" t="b">
        <v>1</v>
      </c>
      <c r="E6" s="76" t="b">
        <f>IF(E$7="","",E$7)</f>
        <v>1</v>
      </c>
    </row>
    <row r="7" spans="1:5" x14ac:dyDescent="0.25">
      <c r="A7" s="52"/>
      <c r="B7" s="51" t="s">
        <v>171</v>
      </c>
      <c r="C7" s="77"/>
      <c r="D7" s="78"/>
      <c r="E7" s="75" t="b">
        <v>1</v>
      </c>
    </row>
    <row r="8" spans="1:5" x14ac:dyDescent="0.25">
      <c r="C8" s="79"/>
      <c r="D8" s="79"/>
      <c r="E8" s="79"/>
    </row>
    <row r="9" spans="1:5" ht="13" x14ac:dyDescent="0.3">
      <c r="A9" s="54" t="s">
        <v>199</v>
      </c>
      <c r="B9" s="51" t="s">
        <v>32</v>
      </c>
      <c r="C9" s="75" t="b">
        <v>1</v>
      </c>
      <c r="D9" s="75"/>
      <c r="E9" s="76" t="b">
        <f>IF(E$7="","",E$7)</f>
        <v>1</v>
      </c>
    </row>
    <row r="10" spans="1:5" x14ac:dyDescent="0.25">
      <c r="A10" s="52"/>
      <c r="B10" s="51" t="s">
        <v>1</v>
      </c>
      <c r="C10" s="75" t="b">
        <v>1</v>
      </c>
      <c r="D10" s="75"/>
      <c r="E10" s="76" t="b">
        <f>IF(E$7="","",E$7)</f>
        <v>1</v>
      </c>
    </row>
    <row r="11" spans="1:5" x14ac:dyDescent="0.25">
      <c r="A11" s="52"/>
      <c r="B11" s="51" t="s">
        <v>2</v>
      </c>
      <c r="C11" s="75" t="b">
        <v>1</v>
      </c>
      <c r="D11" s="75"/>
      <c r="E11" s="76" t="b">
        <f>IF(E$7="","",E$7)</f>
        <v>1</v>
      </c>
    </row>
    <row r="12" spans="1:5" x14ac:dyDescent="0.25">
      <c r="A12" s="52"/>
      <c r="B12" s="51" t="s">
        <v>3</v>
      </c>
      <c r="C12" s="75" t="b">
        <v>1</v>
      </c>
      <c r="D12" s="75"/>
      <c r="E12" s="76" t="b">
        <f>IF(E$7="","",E$7)</f>
        <v>1</v>
      </c>
    </row>
    <row r="13" spans="1:5" x14ac:dyDescent="0.25">
      <c r="A13" s="52"/>
      <c r="B13" s="51" t="s">
        <v>4</v>
      </c>
      <c r="C13" s="75" t="b">
        <v>1</v>
      </c>
      <c r="D13" s="75"/>
      <c r="E13" s="76" t="b">
        <f>IF(E$7="","",E$7)</f>
        <v>1</v>
      </c>
    </row>
    <row r="14" spans="1:5" x14ac:dyDescent="0.25">
      <c r="A14" s="52"/>
      <c r="B14" s="51" t="s">
        <v>171</v>
      </c>
      <c r="C14" s="77"/>
      <c r="D14" s="78"/>
      <c r="E14" s="75"/>
    </row>
    <row r="15" spans="1:5" x14ac:dyDescent="0.25">
      <c r="C15" s="79"/>
      <c r="D15" s="79"/>
      <c r="E15" s="79"/>
    </row>
    <row r="16" spans="1:5" ht="13" x14ac:dyDescent="0.3">
      <c r="A16" s="54" t="s">
        <v>200</v>
      </c>
      <c r="B16" s="51" t="s">
        <v>32</v>
      </c>
      <c r="C16" s="75"/>
      <c r="D16" s="75"/>
      <c r="E16" s="76" t="b">
        <f>IF(E$7="","",E$7)</f>
        <v>1</v>
      </c>
    </row>
    <row r="17" spans="1:5" x14ac:dyDescent="0.25">
      <c r="A17" s="52"/>
      <c r="B17" s="51" t="s">
        <v>1</v>
      </c>
      <c r="C17" s="75"/>
      <c r="D17" s="75"/>
      <c r="E17" s="76" t="b">
        <f>IF(E$7="","",E$7)</f>
        <v>1</v>
      </c>
    </row>
    <row r="18" spans="1:5" x14ac:dyDescent="0.25">
      <c r="A18" s="52"/>
      <c r="B18" s="51" t="s">
        <v>2</v>
      </c>
      <c r="C18" s="75"/>
      <c r="D18" s="75"/>
      <c r="E18" s="76" t="b">
        <f>IF(E$7="","",E$7)</f>
        <v>1</v>
      </c>
    </row>
    <row r="19" spans="1:5" x14ac:dyDescent="0.25">
      <c r="A19" s="52"/>
      <c r="B19" s="51" t="s">
        <v>3</v>
      </c>
      <c r="C19" s="75"/>
      <c r="D19" s="75"/>
      <c r="E19" s="76" t="b">
        <f>IF(E$7="","",E$7)</f>
        <v>1</v>
      </c>
    </row>
    <row r="20" spans="1:5" x14ac:dyDescent="0.25">
      <c r="A20" s="52"/>
      <c r="B20" s="51" t="s">
        <v>4</v>
      </c>
      <c r="C20" s="75"/>
      <c r="D20" s="75"/>
      <c r="E20" s="76" t="b">
        <f>IF(E$7="","",E$7)</f>
        <v>1</v>
      </c>
    </row>
    <row r="21" spans="1:5" x14ac:dyDescent="0.25">
      <c r="A21" s="52"/>
      <c r="B21" s="51" t="s">
        <v>171</v>
      </c>
      <c r="C21" s="77"/>
      <c r="D21" s="78"/>
      <c r="E21" s="75"/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60" zoomScaleNormal="60" workbookViewId="0">
      <selection activeCell="C7" sqref="C7"/>
    </sheetView>
  </sheetViews>
  <sheetFormatPr defaultColWidth="10.81640625" defaultRowHeight="12.5" x14ac:dyDescent="0.25"/>
  <cols>
    <col min="1" max="1" width="15.54296875" customWidth="1"/>
    <col min="2" max="2" width="15.36328125" customWidth="1"/>
    <col min="3" max="3" width="21" customWidth="1"/>
    <col min="4" max="4" width="12.81640625" customWidth="1"/>
  </cols>
  <sheetData>
    <row r="1" spans="1:4" ht="13" x14ac:dyDescent="0.3">
      <c r="A1" s="71" t="s">
        <v>165</v>
      </c>
      <c r="B1" s="56" t="s">
        <v>180</v>
      </c>
      <c r="C1" s="72" t="s">
        <v>181</v>
      </c>
      <c r="D1" s="72" t="s">
        <v>185</v>
      </c>
    </row>
    <row r="2" spans="1:4" ht="13" x14ac:dyDescent="0.3">
      <c r="A2" s="72" t="s">
        <v>69</v>
      </c>
      <c r="B2" s="51" t="s">
        <v>67</v>
      </c>
      <c r="C2" s="51" t="s">
        <v>182</v>
      </c>
      <c r="D2" s="75"/>
    </row>
    <row r="3" spans="1:4" ht="13" x14ac:dyDescent="0.3">
      <c r="A3" s="72" t="s">
        <v>184</v>
      </c>
      <c r="B3" s="51" t="s">
        <v>175</v>
      </c>
      <c r="C3" s="51" t="s">
        <v>183</v>
      </c>
      <c r="D3" s="7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107" zoomScaleNormal="60" workbookViewId="0">
      <selection activeCell="H1" sqref="H1:AK1048576"/>
    </sheetView>
  </sheetViews>
  <sheetFormatPr defaultColWidth="14.36328125" defaultRowHeight="15.75" customHeight="1" x14ac:dyDescent="0.25"/>
  <cols>
    <col min="1" max="1" width="56" style="57" customWidth="1"/>
    <col min="2" max="2" width="14.36328125" style="42"/>
    <col min="3" max="3" width="20.36328125" style="42" customWidth="1"/>
    <col min="4" max="4" width="20.08984375" style="42" customWidth="1"/>
    <col min="5" max="5" width="12.08984375" style="42" customWidth="1"/>
    <col min="6" max="6" width="26.1796875" style="50" customWidth="1"/>
    <col min="7" max="7" width="15.81640625" style="42" customWidth="1"/>
    <col min="8" max="16384" width="14.36328125" style="42"/>
  </cols>
  <sheetData>
    <row r="1" spans="1:7" ht="56.65" customHeight="1" x14ac:dyDescent="0.35">
      <c r="A1" s="62" t="s">
        <v>69</v>
      </c>
      <c r="B1" s="182" t="s">
        <v>298</v>
      </c>
      <c r="C1" s="61" t="s">
        <v>201</v>
      </c>
      <c r="D1" s="60" t="s">
        <v>202</v>
      </c>
      <c r="E1" s="88" t="s">
        <v>208</v>
      </c>
      <c r="F1" s="134" t="s">
        <v>288</v>
      </c>
      <c r="G1" s="91" t="s">
        <v>209</v>
      </c>
    </row>
    <row r="2" spans="1:7" ht="15.75" customHeight="1" x14ac:dyDescent="0.25">
      <c r="A2" s="57" t="s">
        <v>29</v>
      </c>
      <c r="B2" s="164"/>
      <c r="C2" s="58">
        <v>0.95</v>
      </c>
      <c r="D2" s="59">
        <v>25</v>
      </c>
      <c r="E2" s="89"/>
      <c r="F2" s="90"/>
      <c r="G2" s="89" t="s">
        <v>212</v>
      </c>
    </row>
    <row r="3" spans="1:7" ht="15.75" customHeight="1" x14ac:dyDescent="0.25">
      <c r="A3" s="57" t="s">
        <v>86</v>
      </c>
      <c r="B3" s="164"/>
      <c r="C3" s="58">
        <v>0.95</v>
      </c>
      <c r="D3" s="59">
        <v>1</v>
      </c>
      <c r="E3" s="90"/>
      <c r="F3" s="90"/>
      <c r="G3" s="89" t="s">
        <v>210</v>
      </c>
    </row>
    <row r="4" spans="1:7" ht="15.75" customHeight="1" x14ac:dyDescent="0.25">
      <c r="A4" s="57" t="s">
        <v>61</v>
      </c>
      <c r="B4" s="164"/>
      <c r="C4" s="58">
        <v>0.95</v>
      </c>
      <c r="D4" s="59">
        <f>180</f>
        <v>180</v>
      </c>
      <c r="E4" s="90"/>
      <c r="F4" s="90"/>
      <c r="G4" s="89" t="s">
        <v>210</v>
      </c>
    </row>
    <row r="5" spans="1:7" ht="15.75" customHeight="1" x14ac:dyDescent="0.3">
      <c r="A5" s="92" t="s">
        <v>198</v>
      </c>
      <c r="B5" s="149">
        <v>0.18600000000000003</v>
      </c>
      <c r="C5" s="58">
        <v>0.95</v>
      </c>
      <c r="D5" s="136">
        <f>SUM('Programs family planning'!E2:E10)</f>
        <v>0.82100000000000006</v>
      </c>
      <c r="E5" s="89" t="s">
        <v>242</v>
      </c>
      <c r="F5" s="135" t="s">
        <v>270</v>
      </c>
      <c r="G5" s="89"/>
    </row>
    <row r="6" spans="1:7" ht="15.75" customHeight="1" x14ac:dyDescent="0.3">
      <c r="A6" s="92"/>
      <c r="B6" s="149">
        <v>6.3E-2</v>
      </c>
      <c r="C6" s="58">
        <v>0.95</v>
      </c>
      <c r="D6" s="136">
        <v>8.2000000000000003E-2</v>
      </c>
      <c r="E6" s="89" t="s">
        <v>242</v>
      </c>
      <c r="F6" s="135" t="s">
        <v>271</v>
      </c>
      <c r="G6" s="89"/>
    </row>
    <row r="7" spans="1:7" ht="15.75" customHeight="1" x14ac:dyDescent="0.25">
      <c r="A7" s="57" t="s">
        <v>63</v>
      </c>
      <c r="B7" s="150"/>
      <c r="C7" s="58">
        <v>0.95</v>
      </c>
      <c r="D7" s="59">
        <v>0.82</v>
      </c>
      <c r="E7" s="89"/>
      <c r="F7" s="90"/>
      <c r="G7" s="89"/>
    </row>
    <row r="8" spans="1:7" ht="15.75" customHeight="1" x14ac:dyDescent="0.25">
      <c r="A8" s="70" t="s">
        <v>187</v>
      </c>
      <c r="B8" s="150"/>
      <c r="C8" s="58">
        <v>0.95</v>
      </c>
      <c r="D8" s="59">
        <v>0.73</v>
      </c>
      <c r="E8" s="89"/>
      <c r="F8" s="90"/>
      <c r="G8" s="89"/>
    </row>
    <row r="9" spans="1:7" ht="15.75" customHeight="1" x14ac:dyDescent="0.25">
      <c r="A9" s="70" t="s">
        <v>188</v>
      </c>
      <c r="B9" s="150"/>
      <c r="C9" s="58">
        <v>0.95</v>
      </c>
      <c r="D9" s="59">
        <v>1.78</v>
      </c>
      <c r="E9" s="89"/>
      <c r="F9" s="90"/>
      <c r="G9" s="89"/>
    </row>
    <row r="10" spans="1:7" ht="15.75" customHeight="1" x14ac:dyDescent="0.25">
      <c r="A10" s="70" t="s">
        <v>189</v>
      </c>
      <c r="B10" s="150"/>
      <c r="C10" s="58">
        <v>0.95</v>
      </c>
      <c r="D10" s="59">
        <v>0.24</v>
      </c>
      <c r="E10" s="89"/>
      <c r="F10" s="90"/>
      <c r="G10" s="89"/>
    </row>
    <row r="11" spans="1:7" ht="15.75" customHeight="1" x14ac:dyDescent="0.25">
      <c r="A11" s="70" t="s">
        <v>190</v>
      </c>
      <c r="B11" s="150"/>
      <c r="C11" s="58">
        <v>0.95</v>
      </c>
      <c r="D11" s="59">
        <v>0.55000000000000004</v>
      </c>
      <c r="E11" s="89"/>
      <c r="F11" s="90"/>
      <c r="G11" s="89" t="s">
        <v>210</v>
      </c>
    </row>
    <row r="12" spans="1:7" ht="15.75" customHeight="1" x14ac:dyDescent="0.25">
      <c r="A12" s="14" t="s">
        <v>186</v>
      </c>
      <c r="B12" s="150"/>
      <c r="C12" s="58">
        <v>0.95</v>
      </c>
      <c r="D12" s="59">
        <v>0.73</v>
      </c>
      <c r="E12" s="89"/>
      <c r="F12" s="90"/>
      <c r="G12" s="89"/>
    </row>
    <row r="13" spans="1:7" ht="15.75" customHeight="1" x14ac:dyDescent="0.3">
      <c r="A13" s="93" t="s">
        <v>191</v>
      </c>
      <c r="B13" s="149">
        <v>0.501</v>
      </c>
      <c r="C13" s="58">
        <v>0.95</v>
      </c>
      <c r="D13" s="59">
        <v>2</v>
      </c>
      <c r="E13" s="89" t="s">
        <v>242</v>
      </c>
      <c r="F13" s="90" t="s">
        <v>286</v>
      </c>
      <c r="G13" s="89"/>
    </row>
    <row r="14" spans="1:7" ht="15.75" customHeight="1" x14ac:dyDescent="0.3">
      <c r="A14" s="92" t="s">
        <v>57</v>
      </c>
      <c r="B14" s="149">
        <v>0.317</v>
      </c>
      <c r="C14" s="58">
        <v>0.95</v>
      </c>
      <c r="D14" s="59">
        <v>2.1800000000000002</v>
      </c>
      <c r="E14" s="89" t="s">
        <v>242</v>
      </c>
      <c r="F14" s="135" t="s">
        <v>272</v>
      </c>
      <c r="G14" s="89" t="s">
        <v>212</v>
      </c>
    </row>
    <row r="15" spans="1:7" ht="15.75" customHeight="1" x14ac:dyDescent="0.3">
      <c r="A15" s="92"/>
      <c r="B15" s="149">
        <v>0.18100000000000002</v>
      </c>
      <c r="C15" s="58">
        <v>0.95</v>
      </c>
      <c r="D15" s="59">
        <v>2.1800000000000002</v>
      </c>
      <c r="E15" s="89" t="s">
        <v>242</v>
      </c>
      <c r="F15" s="135" t="s">
        <v>273</v>
      </c>
      <c r="G15" s="89"/>
    </row>
    <row r="16" spans="1:7" ht="15.75" customHeight="1" x14ac:dyDescent="0.25">
      <c r="A16" s="57" t="s">
        <v>47</v>
      </c>
      <c r="B16" s="150"/>
      <c r="C16" s="58">
        <v>0.95</v>
      </c>
      <c r="D16" s="59">
        <v>0.05</v>
      </c>
      <c r="E16" s="89"/>
      <c r="F16" s="90"/>
      <c r="G16" s="89"/>
    </row>
    <row r="17" spans="1:7" ht="16" customHeight="1" x14ac:dyDescent="0.25">
      <c r="A17" s="57" t="s">
        <v>172</v>
      </c>
      <c r="B17" s="150"/>
      <c r="C17" s="58">
        <v>0.95</v>
      </c>
      <c r="D17" s="137">
        <v>5</v>
      </c>
      <c r="E17" s="89"/>
      <c r="F17" s="90"/>
      <c r="G17" s="89"/>
    </row>
    <row r="18" spans="1:7" ht="15.75" customHeight="1" x14ac:dyDescent="0.25">
      <c r="A18" s="57" t="s">
        <v>199</v>
      </c>
      <c r="B18" s="150"/>
      <c r="C18" s="58">
        <v>0.95</v>
      </c>
      <c r="D18" s="137">
        <f>SUMPRODUCT(('IYCF cost'!$C$2:$E$6)*('IYCF packages'!$C$9:$E$13&lt;&gt;""))</f>
        <v>4.8250000000000002</v>
      </c>
      <c r="E18" s="89"/>
      <c r="F18" s="90"/>
      <c r="G18" s="89" t="s">
        <v>210</v>
      </c>
    </row>
    <row r="19" spans="1:7" ht="15.75" customHeight="1" x14ac:dyDescent="0.25">
      <c r="A19" s="57" t="s">
        <v>200</v>
      </c>
      <c r="B19" s="150"/>
      <c r="C19" s="58">
        <v>0.95</v>
      </c>
      <c r="D19" s="137">
        <f>SUMPRODUCT(('IYCF cost'!$C$2:$E$6)*('IYCF packages'!$C$16:$E$20&lt;&gt;""))</f>
        <v>0.25</v>
      </c>
      <c r="E19" s="89"/>
      <c r="F19" s="90"/>
      <c r="G19" s="89"/>
    </row>
    <row r="20" spans="1:7" ht="15.75" customHeight="1" x14ac:dyDescent="0.25">
      <c r="A20" s="57" t="s">
        <v>196</v>
      </c>
      <c r="B20" s="150"/>
      <c r="C20" s="58">
        <v>0.95</v>
      </c>
      <c r="D20" s="59">
        <v>8.84</v>
      </c>
      <c r="E20" s="89"/>
      <c r="F20" s="90"/>
      <c r="G20" s="89"/>
    </row>
    <row r="21" spans="1:7" ht="15.75" customHeight="1" x14ac:dyDescent="0.25">
      <c r="A21" s="57" t="s">
        <v>137</v>
      </c>
      <c r="B21" s="150"/>
      <c r="C21" s="58">
        <v>0.95</v>
      </c>
      <c r="D21" s="59">
        <v>50</v>
      </c>
      <c r="E21" s="90"/>
      <c r="F21" s="90"/>
      <c r="G21" s="89"/>
    </row>
    <row r="22" spans="1:7" ht="15.75" customHeight="1" x14ac:dyDescent="0.25">
      <c r="A22" s="57" t="s">
        <v>34</v>
      </c>
      <c r="B22" s="150"/>
      <c r="C22" s="58">
        <v>0.95</v>
      </c>
      <c r="D22" s="59">
        <v>2.61</v>
      </c>
      <c r="E22" s="90"/>
      <c r="F22" s="90"/>
      <c r="G22" s="89"/>
    </row>
    <row r="23" spans="1:7" ht="15.75" customHeight="1" x14ac:dyDescent="0.25">
      <c r="A23" s="57" t="s">
        <v>88</v>
      </c>
      <c r="B23" s="150"/>
      <c r="C23" s="58">
        <v>0.95</v>
      </c>
      <c r="D23" s="59">
        <v>1</v>
      </c>
      <c r="E23" s="90"/>
      <c r="F23" s="90"/>
      <c r="G23" s="89" t="s">
        <v>210</v>
      </c>
    </row>
    <row r="24" spans="1:7" ht="15.75" customHeight="1" x14ac:dyDescent="0.25">
      <c r="A24" s="57" t="s">
        <v>87</v>
      </c>
      <c r="B24" s="150"/>
      <c r="C24" s="58">
        <v>0.95</v>
      </c>
      <c r="D24" s="59">
        <v>1</v>
      </c>
      <c r="E24" s="90"/>
      <c r="F24" s="90"/>
      <c r="G24" s="89" t="s">
        <v>210</v>
      </c>
    </row>
    <row r="25" spans="1:7" ht="15.75" customHeight="1" x14ac:dyDescent="0.25">
      <c r="A25" s="57" t="s">
        <v>138</v>
      </c>
      <c r="B25" s="150"/>
      <c r="C25" s="58">
        <v>0.95</v>
      </c>
      <c r="D25" s="59">
        <v>1</v>
      </c>
      <c r="E25" s="90"/>
      <c r="F25" s="90"/>
      <c r="G25" s="89" t="s">
        <v>210</v>
      </c>
    </row>
    <row r="26" spans="1:7" ht="15.75" customHeight="1" x14ac:dyDescent="0.3">
      <c r="A26" s="92" t="s">
        <v>59</v>
      </c>
      <c r="B26" s="150"/>
      <c r="C26" s="58">
        <v>0.95</v>
      </c>
      <c r="D26" s="59">
        <v>3.54</v>
      </c>
      <c r="E26" s="89"/>
      <c r="F26" s="90" t="s">
        <v>287</v>
      </c>
      <c r="G26" s="89"/>
    </row>
    <row r="27" spans="1:7" ht="15.75" customHeight="1" x14ac:dyDescent="0.3">
      <c r="A27" s="92" t="s">
        <v>84</v>
      </c>
      <c r="B27" s="149">
        <v>0.44</v>
      </c>
      <c r="C27" s="58">
        <v>0.95</v>
      </c>
      <c r="D27" s="59">
        <v>1</v>
      </c>
      <c r="E27" s="89" t="s">
        <v>242</v>
      </c>
      <c r="F27" s="90" t="s">
        <v>274</v>
      </c>
      <c r="G27" s="89"/>
    </row>
    <row r="28" spans="1:7" ht="15.75" customHeight="1" x14ac:dyDescent="0.25">
      <c r="A28" s="57" t="s">
        <v>58</v>
      </c>
      <c r="B28" s="150"/>
      <c r="C28" s="58">
        <v>0.95</v>
      </c>
      <c r="D28" s="59">
        <v>40.25</v>
      </c>
      <c r="E28" s="89"/>
      <c r="F28" s="90"/>
      <c r="G28" s="89"/>
    </row>
    <row r="29" spans="1:7" ht="15.75" customHeight="1" x14ac:dyDescent="0.25">
      <c r="A29" s="57" t="s">
        <v>67</v>
      </c>
      <c r="B29" s="150"/>
      <c r="C29" s="58">
        <v>0.95</v>
      </c>
      <c r="D29" s="138">
        <f>162*AVERAGE('Incidence of conditions'!B4:F4) + 0*AVERAGE('Incidence of conditions'!B3:F3)*IF(ISBLANK(manage_mam), 0, 1)</f>
        <v>3.9133776239999993</v>
      </c>
      <c r="E29" s="89"/>
      <c r="F29" s="90"/>
      <c r="G29" s="89"/>
    </row>
    <row r="30" spans="1:7" ht="15.75" customHeight="1" x14ac:dyDescent="0.3">
      <c r="A30" s="92" t="s">
        <v>28</v>
      </c>
      <c r="B30" s="149">
        <v>0.78700000000000003</v>
      </c>
      <c r="C30" s="58">
        <v>0.95</v>
      </c>
      <c r="D30" s="59">
        <v>0.55000000000000004</v>
      </c>
      <c r="E30" s="89" t="s">
        <v>242</v>
      </c>
      <c r="F30" s="135" t="s">
        <v>275</v>
      </c>
      <c r="G30" s="89"/>
    </row>
    <row r="31" spans="1:7" ht="15.75" customHeight="1" x14ac:dyDescent="0.3">
      <c r="A31" s="92"/>
      <c r="B31" s="149">
        <v>0.248</v>
      </c>
      <c r="C31" s="58">
        <v>0.95</v>
      </c>
      <c r="D31" s="59">
        <v>0.55000000000000004</v>
      </c>
      <c r="E31" s="89" t="s">
        <v>242</v>
      </c>
      <c r="F31" s="135" t="s">
        <v>276</v>
      </c>
      <c r="G31" s="89"/>
    </row>
    <row r="32" spans="1:7" ht="15.75" customHeight="1" x14ac:dyDescent="0.25">
      <c r="A32" s="57" t="s">
        <v>83</v>
      </c>
      <c r="B32" s="150"/>
      <c r="C32" s="58">
        <v>0.95</v>
      </c>
      <c r="D32" s="59">
        <v>1</v>
      </c>
      <c r="E32" s="89"/>
      <c r="F32" s="90"/>
      <c r="G32" s="89" t="s">
        <v>210</v>
      </c>
    </row>
    <row r="33" spans="1:7" ht="15.75" customHeight="1" x14ac:dyDescent="0.25">
      <c r="A33" s="57" t="s">
        <v>82</v>
      </c>
      <c r="B33" s="150"/>
      <c r="C33" s="58">
        <v>0.95</v>
      </c>
      <c r="D33" s="59">
        <v>2.8</v>
      </c>
      <c r="E33" s="89"/>
      <c r="F33" s="90"/>
      <c r="G33" s="89"/>
    </row>
    <row r="34" spans="1:7" ht="15.75" customHeight="1" x14ac:dyDescent="0.25">
      <c r="A34" s="57" t="s">
        <v>81</v>
      </c>
      <c r="B34" s="150"/>
      <c r="C34" s="58">
        <v>0.95</v>
      </c>
      <c r="D34" s="59">
        <v>50.26</v>
      </c>
      <c r="E34" s="89"/>
      <c r="F34" s="90"/>
      <c r="G34" s="89"/>
    </row>
    <row r="35" spans="1:7" ht="15.75" customHeight="1" x14ac:dyDescent="0.25">
      <c r="A35" s="57" t="s">
        <v>79</v>
      </c>
      <c r="B35" s="150"/>
      <c r="C35" s="58">
        <v>0.95</v>
      </c>
      <c r="D35" s="59">
        <v>36.1</v>
      </c>
      <c r="E35" s="89"/>
      <c r="F35" s="90"/>
      <c r="G35" s="89"/>
    </row>
    <row r="36" spans="1:7" s="43" customFormat="1" ht="15.75" customHeight="1" x14ac:dyDescent="0.25">
      <c r="A36" s="57" t="s">
        <v>80</v>
      </c>
      <c r="B36" s="150"/>
      <c r="C36" s="58">
        <v>0.95</v>
      </c>
      <c r="D36" s="59">
        <v>231.85</v>
      </c>
      <c r="E36" s="89"/>
      <c r="F36" s="90"/>
      <c r="G36" s="89"/>
    </row>
    <row r="37" spans="1:7" ht="15.75" customHeight="1" x14ac:dyDescent="0.3">
      <c r="A37" s="92" t="s">
        <v>85</v>
      </c>
      <c r="B37" s="150">
        <v>1.5599999999999999E-2</v>
      </c>
      <c r="C37" s="58">
        <v>0.95</v>
      </c>
      <c r="D37" s="59">
        <v>0.92</v>
      </c>
      <c r="E37" s="89" t="s">
        <v>242</v>
      </c>
      <c r="F37" s="90"/>
      <c r="G37" s="89"/>
    </row>
    <row r="38" spans="1:7" ht="15.75" customHeight="1" x14ac:dyDescent="0.25">
      <c r="A38" s="57" t="s">
        <v>60</v>
      </c>
      <c r="B38" s="164"/>
      <c r="C38" s="58">
        <v>0.95</v>
      </c>
      <c r="D38" s="59">
        <v>4.6100000000000003</v>
      </c>
      <c r="E38" s="89"/>
      <c r="F38" s="90"/>
      <c r="G38" s="89" t="s">
        <v>212</v>
      </c>
    </row>
    <row r="39" spans="1:7" ht="15.75" customHeight="1" x14ac:dyDescent="0.25">
      <c r="G39" s="43"/>
    </row>
  </sheetData>
  <sortState ref="A2:D38">
    <sortCondition ref="A2:A38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45</vt:i4>
      </vt:variant>
    </vt:vector>
  </HeadingPairs>
  <TitlesOfParts>
    <vt:vector size="60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Programs family planning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Avril Dawn Kaplan</cp:lastModifiedBy>
  <dcterms:created xsi:type="dcterms:W3CDTF">2017-08-01T10:42:13Z</dcterms:created>
  <dcterms:modified xsi:type="dcterms:W3CDTF">2018-11-06T16:54:20Z</dcterms:modified>
</cp:coreProperties>
</file>