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akaplan1_worldbank_org/Documents/DRC/Provincial projections/"/>
    </mc:Choice>
  </mc:AlternateContent>
  <xr:revisionPtr revIDLastSave="0" documentId="10_ncr:100000_{54690FD4-C29F-4E07-8C12-EB1B2D8D66A0}" xr6:coauthVersionLast="31" xr6:coauthVersionMax="31" xr10:uidLastSave="{00000000-0000-0000-0000-000000000000}"/>
  <bookViews>
    <workbookView xWindow="0" yWindow="0" windowWidth="23040" windowHeight="8610" tabRatio="93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r:id="rId13"/>
    <sheet name="Programs target population" sheetId="21" r:id="rId14"/>
    <sheet name="Programs family planning" sheetId="54" r:id="rId15"/>
  </sheets>
  <definedNames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inputs'!$C$7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inputs'!$C$8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79017"/>
</workbook>
</file>

<file path=xl/calcChain.xml><?xml version="1.0" encoding="utf-8"?>
<calcChain xmlns="http://schemas.openxmlformats.org/spreadsheetml/2006/main">
  <c r="C5" i="50" l="1"/>
  <c r="D5" i="50"/>
  <c r="E5" i="50"/>
  <c r="F5" i="50"/>
  <c r="G5" i="50"/>
  <c r="C15" i="5"/>
  <c r="D6" i="57" l="1"/>
  <c r="C6" i="57"/>
  <c r="D5" i="57"/>
  <c r="C5" i="57"/>
  <c r="D4" i="57"/>
  <c r="C4" i="57"/>
  <c r="D3" i="57"/>
  <c r="C3" i="57"/>
  <c r="D2" i="57"/>
  <c r="C2" i="57"/>
  <c r="D4" i="56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D18" i="56" s="1"/>
  <c r="I2" i="2" l="1"/>
  <c r="A1" i="50" l="1"/>
  <c r="A1" i="5"/>
  <c r="A1" i="4"/>
  <c r="D19" i="56" l="1"/>
  <c r="C6" i="5"/>
  <c r="A34" i="2" l="1"/>
  <c r="A26" i="2"/>
  <c r="A18" i="2"/>
  <c r="A38" i="2"/>
  <c r="A30" i="2"/>
  <c r="A22" i="2"/>
  <c r="A37" i="2"/>
  <c r="A33" i="2"/>
  <c r="A29" i="2"/>
  <c r="A25" i="2"/>
  <c r="A21" i="2"/>
  <c r="A40" i="2"/>
  <c r="A36" i="2"/>
  <c r="A32" i="2"/>
  <c r="A28" i="2"/>
  <c r="A24" i="2"/>
  <c r="A20" i="2"/>
  <c r="A39" i="2"/>
  <c r="A35" i="2"/>
  <c r="A31" i="2"/>
  <c r="A27" i="2"/>
  <c r="A23" i="2"/>
  <c r="A19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J33" i="2" l="1"/>
  <c r="J31" i="2"/>
  <c r="J25" i="2"/>
  <c r="J23" i="2"/>
  <c r="J32" i="2"/>
  <c r="J24" i="2"/>
  <c r="J39" i="2"/>
  <c r="J37" i="2"/>
  <c r="J35" i="2"/>
  <c r="J17" i="2"/>
  <c r="J40" i="2"/>
  <c r="J20" i="2"/>
  <c r="J29" i="2"/>
  <c r="J27" i="2"/>
  <c r="J16" i="2"/>
  <c r="J21" i="2"/>
  <c r="J19" i="2"/>
  <c r="J38" i="2"/>
  <c r="J22" i="2"/>
  <c r="J30" i="2"/>
  <c r="J36" i="2"/>
  <c r="J28" i="2"/>
  <c r="J34" i="2"/>
  <c r="J26" i="2"/>
  <c r="J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29" i="56" l="1"/>
  <c r="E2" i="54"/>
  <c r="E3" i="54"/>
  <c r="E4" i="54"/>
  <c r="E5" i="54"/>
  <c r="E6" i="54"/>
  <c r="E7" i="54"/>
  <c r="E8" i="54"/>
  <c r="E9" i="54"/>
  <c r="E10" i="54"/>
  <c r="D5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I3" i="2"/>
  <c r="I4" i="2"/>
  <c r="I5" i="2"/>
  <c r="I6" i="2"/>
  <c r="I7" i="2"/>
  <c r="I8" i="2"/>
  <c r="I9" i="2"/>
  <c r="I10" i="2"/>
  <c r="I11" i="2"/>
  <c r="I12" i="2"/>
  <c r="I13" i="2"/>
  <c r="I14" i="2"/>
  <c r="I15" i="2"/>
  <c r="H3" i="2" l="1"/>
  <c r="J3" i="2" s="1"/>
  <c r="H4" i="2"/>
  <c r="J4" i="2" s="1"/>
  <c r="H5" i="2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H14" i="2"/>
  <c r="J14" i="2" s="1"/>
  <c r="H15" i="2"/>
  <c r="H2" i="2"/>
  <c r="J5" i="2"/>
  <c r="J13" i="2" l="1"/>
  <c r="J15" i="2"/>
  <c r="J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davide de beni</author>
  </authors>
  <commentList>
    <comment ref="A1" authorId="0" shapeId="0" xr:uid="{A8BB5F1D-230B-4232-AF42-5D96210F9657}">
      <text>
        <r>
          <rPr>
            <b/>
            <sz val="9"/>
            <color indexed="81"/>
            <rFont val="Tahoma"/>
            <family val="2"/>
          </rPr>
          <t>davide de beni:</t>
        </r>
        <r>
          <rPr>
            <sz val="9"/>
            <color indexed="81"/>
            <rFont val="Tahoma"/>
            <family val="2"/>
          </rPr>
          <t xml:space="preserve">
Source: LiST (v5.71) - WPP 2017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<sst xmlns="http://schemas.openxmlformats.org/spreadsheetml/2006/main" count="434" uniqueCount="259">
  <si>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</si>
  <si>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</si>
  <si>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</si>
  <si>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</si>
  <si>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</si>
  <si>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</si>
  <si>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</si>
  <si>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</si>
  <si>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</si>
  <si>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</si>
  <si>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</si>
  <si>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</si>
  <si>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</si>
  <si>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</si>
  <si>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</si>
  <si>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</si>
  <si>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</si>
  <si>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</si>
  <si>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</si>
  <si>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</si>
  <si>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</si>
  <si>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</si>
  <si>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</si>
  <si>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</si>
  <si>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</si>
  <si>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</si>
  <si>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</si>
  <si>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</si>
  <si>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</si>
  <si>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</si>
  <si>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</si>
  <si>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</si>
  <si>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</si>
  <si>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</si>
  <si>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</si>
  <si>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</si>
  <si>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</si>
  <si>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</si>
  <si>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</si>
  <si>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</si>
  <si>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</si>
  <si>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</si>
  <si>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</si>
  <si>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</si>
  <si>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</si>
  <si>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</si>
  <si>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</si>
  <si>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</si>
  <si>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</si>
  <si>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</si>
  <si>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</si>
  <si>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</si>
  <si>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</si>
  <si>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</si>
  <si>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</si>
  <si>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</si>
  <si>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</si>
  <si>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</si>
  <si>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</si>
  <si>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</si>
  <si>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</si>
  <si>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</si>
  <si>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</si>
  <si>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</si>
  <si>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</si>
  <si>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</si>
  <si>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</si>
  <si>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</si>
  <si>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</si>
  <si>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</si>
  <si>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</si>
  <si>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</si>
  <si>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</si>
  <si>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</si>
  <si>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</si>
  <si>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</si>
  <si>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</si>
  <si>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</si>
  <si>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</si>
  <si>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</si>
  <si>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</si>
  <si>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</si>
  <si>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</si>
  <si>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</si>
  <si>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</si>
  <si>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</si>
  <si>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</si>
  <si>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</si>
  <si>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</si>
  <si>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</si>
  <si>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</si>
  <si>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</si>
  <si>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</si>
  <si>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</si>
  <si>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</si>
  <si>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</si>
  <si>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</si>
  <si>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</si>
  <si>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</si>
  <si>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</si>
  <si>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</si>
  <si>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</si>
  <si>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</si>
  <si>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</si>
  <si>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</si>
  <si>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</si>
  <si>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</si>
  <si>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</si>
  <si>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</si>
  <si>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</si>
  <si>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</si>
  <si>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</si>
  <si>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</si>
  <si>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</si>
  <si>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</si>
  <si>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</si>
  <si>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</si>
  <si>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</si>
  <si>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</si>
  <si>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</si>
  <si>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</si>
  <si>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</si>
  <si>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</si>
  <si>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</si>
  <si>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</si>
  <si>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</si>
  <si>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</si>
  <si>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</si>
  <si>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</si>
  <si>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</si>
  <si>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</si>
  <si>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</si>
  <si>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</si>
  <si>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</si>
  <si>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</si>
  <si>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</si>
  <si>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</si>
  <si>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</si>
  <si>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</si>
  <si>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</si>
  <si>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</si>
  <si>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</si>
  <si>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</si>
  <si>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</si>
  <si>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</si>
  <si>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</si>
  <si>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</si>
  <si>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</si>
  <si>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</si>
  <si>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</si>
  <si>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</si>
  <si>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</si>
  <si>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</si>
  <si>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</si>
  <si>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</si>
  <si>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</si>
  <si>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</si>
  <si>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</si>
  <si>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</si>
  <si>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</si>
  <si>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</si>
  <si>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</si>
  <si>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</si>
  <si>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</si>
  <si>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</si>
  <si>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</si>
  <si>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Exclusive</t>
  </si>
  <si>
    <t>Predominant</t>
  </si>
  <si>
    <t>Partial</t>
  </si>
  <si>
    <t>None</t>
  </si>
  <si>
    <t>Maternal (deaths per 1,000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</si>
  <si>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</si>
  <si>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</si>
  <si>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</si>
  <si>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</si>
  <si>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</si>
  <si>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</si>
  <si>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</si>
  <si>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</si>
  <si>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</si>
  <si>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</si>
  <si>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</si>
  <si>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</si>
  <si>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</si>
  <si>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</si>
  <si>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</si>
  <si>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</si>
  <si>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</si>
  <si>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</si>
  <si>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</si>
  <si>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</si>
  <si>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</si>
  <si>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</si>
  <si>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</si>
  <si>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</si>
  <si>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</si>
  <si>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</si>
  <si>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</si>
  <si>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</si>
  <si>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</si>
  <si>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</si>
  <si>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</si>
  <si>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Unit cost (US$)</t>
  </si>
  <si>
    <t>WFP Comprehensive  Food Security and Vulnerability Analysis 2011-12 (Table 17 )</t>
  </si>
  <si>
    <t>Source National</t>
  </si>
  <si>
    <t>LiST (v5.71)</t>
  </si>
  <si>
    <t xml:space="preserve">   LiST (v5.71):  WHO estimates (2000-2015); http://www.who.int/healthinfo/global_burden_disease/estimates_child_cod_2015/en/</t>
  </si>
  <si>
    <t>LiST (v5.71) , DHS 2013</t>
  </si>
  <si>
    <t>Source: baseline coverage</t>
  </si>
  <si>
    <t>Source: unit cost</t>
  </si>
  <si>
    <t>Default Optima tool</t>
  </si>
  <si>
    <t>Source National:</t>
  </si>
  <si>
    <t>An Investment Framework for Nutrition; Shekar et al. 2017</t>
  </si>
  <si>
    <t>Kwilu</t>
  </si>
  <si>
    <t>Source</t>
  </si>
  <si>
    <t>Notes</t>
  </si>
  <si>
    <t>DHS 2013-14</t>
  </si>
  <si>
    <t>Calculated for women who were pregnant at the time of the survey</t>
  </si>
  <si>
    <t>Assuming here that severe is diarrhea is defined as diarrhea with blood. Calculated as a percentage of all diarrhea cases in past 2 weeks that were severe (had blood)</t>
  </si>
  <si>
    <t>Diarrhoea episode during the 2 weeks before survey</t>
  </si>
  <si>
    <t>All diarrhoea</t>
  </si>
  <si>
    <t>Diarrhoea with blood</t>
  </si>
  <si>
    <t>All diarrhoea &lt;1 month</t>
  </si>
  <si>
    <t>All diarrhoea 1-5 months</t>
  </si>
  <si>
    <t>All diarrhoea 6-11 months</t>
  </si>
  <si>
    <t>All diarrhoea 12-23 months</t>
  </si>
  <si>
    <t>All diarrhoea 24-59 months</t>
  </si>
  <si>
    <t>Malaria prevalence 0-5 yrs - Blood smear</t>
  </si>
  <si>
    <t>Malaria prevalence 0-5 yrs - Rapid diagnostic test</t>
  </si>
  <si>
    <t>DHS - all diarrhoea 0-59 months</t>
  </si>
  <si>
    <t>Any method (% of married women age 15-49)</t>
  </si>
  <si>
    <t>Modern method (% of married women age 15-49)</t>
  </si>
  <si>
    <t>% of women aged 15-49 who had a live birth during 2 yrs preceding survey, and during most recent pregnancy, received SP / Fansidar during an antenatal visit</t>
  </si>
  <si>
    <t>% of women aged 15-49 who had a live birth during 2 yrs preceding survey, and during most recent pregnancy, took two or more doses and received at least one during a prenatal visit</t>
  </si>
  <si>
    <t>Among  children under 5 yrs who had diarrhoea episode during 2 weeks before survey</t>
  </si>
  <si>
    <t>Among youngest child age 6-59 months, % who were given vitamin A supplementation in past 6 months</t>
  </si>
  <si>
    <t xml:space="preserve">Among women who had live-birth in past five years, % who received a dose of Vitamin A post-partum for most recent born child </t>
  </si>
  <si>
    <t>Maternal mortality (per 100,000 live births)</t>
  </si>
  <si>
    <t>Four or more ANC visits</t>
  </si>
  <si>
    <t>Children age 12-23 months that received all recommended vaccines</t>
  </si>
  <si>
    <t>(http://datacompass.lshtm.ac.uk/115/</t>
  </si>
  <si>
    <t>Lee AC, Katz J, Blencowe H, et al. National and regional estimates of term and preterm babies born small for gestational age in 138 low-income and middle-income countries in 2010. Lancet Global Health 2013; 1(1): e26-36.</t>
  </si>
  <si>
    <t>Walker, Christa L. Fischer, et al. "Global burden of childhood pneumonia and diarrhoea." The Lancet 381.9875 (2013): 1405-1416.</t>
  </si>
  <si>
    <t>WHO estimates 1996-2012. Source: Stevens GA, Finucane MM, De-Regil LM, et al. Global, regional, and national trends in haemoglobin concentration and prevalence of total and severe anaemia in children and pregnant and non-pregnant women for 1995-2011: a systematic analysis of population-representative data. Lancet Global Health 2013; 1(1): e16-25. http://www.ncbi.nlm.nih.gov/pubmed/25103581. (Unpublished data from the authors.)</t>
  </si>
  <si>
    <t>No data in DHS - NATIONAL estimate</t>
  </si>
  <si>
    <t>NATIONAL estimate</t>
  </si>
  <si>
    <t>For women who had birth in past 5 yrs, percentage who took iron - NOTE - no infomration about whether given in hospital or community, and no information about folic acid</t>
  </si>
  <si>
    <t>Not available</t>
  </si>
  <si>
    <t>Notes: baseline coverage</t>
  </si>
  <si>
    <t xml:space="preserve">Ministere du plan - Institut National de la Statistique. 2017. Annuaire Statistique 2015. </t>
  </si>
  <si>
    <t>Percentage of population living below $1.90</t>
  </si>
  <si>
    <t>Mapped from old to new provinces</t>
  </si>
  <si>
    <t>2012-13 Household consumption survey</t>
  </si>
  <si>
    <t>Use National figure for proportion of population engaged in informal agriculture</t>
  </si>
  <si>
    <t>No data in DHS - used national estimate from List</t>
  </si>
  <si>
    <t>No data in DHS - used national estimate from datacompass</t>
  </si>
  <si>
    <t>No data in DHS - used national estimate from Lee et al</t>
  </si>
  <si>
    <t>No data in DHS - used national data form Walker</t>
  </si>
  <si>
    <t>Kwilu - Baseline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</si>
</sst>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3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i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2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158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9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10" fontId="0" fillId="0" borderId="0" xfId="0" applyNumberFormat="1" applyFont="1" applyAlignment="1"/>
    <xf numFmtId="0" fontId="9" fillId="0" borderId="0" xfId="0" applyFont="1" applyAlignment="1">
      <alignment wrapText="1"/>
    </xf>
    <xf numFmtId="0" fontId="4" fillId="0" borderId="0" xfId="0" applyFont="1" applyFill="1" applyBorder="1" applyAlignment="1">
      <alignment horizontal="right"/>
    </xf>
    <xf numFmtId="0" fontId="11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0" xfId="0" applyFont="1" applyAlignment="1"/>
    <xf numFmtId="0" fontId="5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5" fillId="0" borderId="0" xfId="0" applyFont="1" applyAlignment="1">
      <alignment horizontal="right"/>
    </xf>
    <xf numFmtId="43" fontId="5" fillId="0" borderId="0" xfId="0" applyNumberFormat="1" applyFont="1" applyAlignment="1"/>
    <xf numFmtId="0" fontId="9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5" fillId="0" borderId="0" xfId="0" applyFont="1" applyAlignment="1">
      <alignment wrapText="1"/>
    </xf>
    <xf numFmtId="164" fontId="5" fillId="2" borderId="1" xfId="0" applyNumberFormat="1" applyFont="1" applyFill="1" applyBorder="1" applyAlignment="1"/>
    <xf numFmtId="164" fontId="10" fillId="3" borderId="1" xfId="9" applyNumberFormat="1" applyFont="1" applyFill="1" applyBorder="1" applyAlignment="1"/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 vertical="center"/>
    </xf>
    <xf numFmtId="1" fontId="10" fillId="3" borderId="1" xfId="9" applyNumberFormat="1" applyFont="1" applyFill="1" applyBorder="1" applyAlignment="1">
      <alignment horizontal="right"/>
    </xf>
    <xf numFmtId="0" fontId="4" fillId="0" borderId="0" xfId="0" applyFont="1" applyAlignment="1">
      <alignment horizontal="right" wrapText="1"/>
    </xf>
    <xf numFmtId="165" fontId="10" fillId="3" borderId="1" xfId="9" applyNumberFormat="1" applyFont="1" applyFill="1" applyBorder="1" applyAlignment="1">
      <alignment horizontal="right"/>
    </xf>
    <xf numFmtId="0" fontId="3" fillId="0" borderId="0" xfId="0" applyFont="1" applyAlignment="1">
      <alignment wrapText="1"/>
    </xf>
    <xf numFmtId="166" fontId="5" fillId="2" borderId="1" xfId="0" applyNumberFormat="1" applyFont="1" applyFill="1" applyBorder="1" applyAlignment="1">
      <alignment horizontal="right"/>
    </xf>
    <xf numFmtId="166" fontId="5" fillId="0" borderId="0" xfId="0" applyNumberFormat="1" applyFont="1" applyAlignment="1"/>
    <xf numFmtId="0" fontId="4" fillId="0" borderId="0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right" wrapText="1"/>
    </xf>
    <xf numFmtId="0" fontId="13" fillId="0" borderId="0" xfId="0" applyFont="1" applyAlignment="1">
      <alignment horizontal="right" vertical="center"/>
    </xf>
    <xf numFmtId="166" fontId="10" fillId="3" borderId="1" xfId="1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5" fillId="0" borderId="0" xfId="0" applyFont="1" applyFill="1" applyBorder="1" applyAlignment="1">
      <alignment horizontal="right"/>
    </xf>
    <xf numFmtId="2" fontId="1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" fillId="0" borderId="0" xfId="725" applyFont="1" applyAlignment="1"/>
    <xf numFmtId="0" fontId="5" fillId="0" borderId="0" xfId="725" applyFont="1" applyFill="1" applyAlignment="1"/>
    <xf numFmtId="0" fontId="5" fillId="0" borderId="0" xfId="725" applyNumberFormat="1" applyFont="1" applyFill="1" applyAlignment="1"/>
    <xf numFmtId="0" fontId="16" fillId="0" borderId="0" xfId="725" applyNumberFormat="1" applyFont="1" applyAlignment="1"/>
    <xf numFmtId="0" fontId="16" fillId="0" borderId="0" xfId="725" applyFont="1" applyAlignment="1"/>
    <xf numFmtId="0" fontId="9" fillId="0" borderId="0" xfId="725" applyFont="1" applyAlignment="1"/>
    <xf numFmtId="0" fontId="17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4" fillId="0" borderId="0" xfId="725" applyFont="1" applyAlignment="1"/>
    <xf numFmtId="0" fontId="5" fillId="0" borderId="2" xfId="725" applyFont="1" applyBorder="1" applyAlignment="1"/>
    <xf numFmtId="0" fontId="5" fillId="0" borderId="0" xfId="725" applyFont="1" applyBorder="1" applyAlignment="1"/>
    <xf numFmtId="166" fontId="5" fillId="2" borderId="1" xfId="725" applyNumberFormat="1" applyFont="1" applyFill="1" applyBorder="1" applyAlignment="1">
      <alignment horizontal="right" vertical="center"/>
    </xf>
    <xf numFmtId="0" fontId="9" fillId="0" borderId="6" xfId="725" applyFont="1" applyBorder="1" applyAlignment="1"/>
    <xf numFmtId="0" fontId="9" fillId="0" borderId="5" xfId="725" applyFont="1" applyBorder="1" applyAlignment="1"/>
    <xf numFmtId="0" fontId="9" fillId="0" borderId="1" xfId="725" applyFont="1" applyBorder="1" applyAlignment="1"/>
    <xf numFmtId="0" fontId="4" fillId="0" borderId="0" xfId="726" applyFont="1" applyFill="1" applyAlignment="1">
      <alignment horizontal="right"/>
    </xf>
    <xf numFmtId="9" fontId="4" fillId="2" borderId="1" xfId="725" applyNumberFormat="1" applyFont="1" applyFill="1" applyBorder="1" applyAlignment="1"/>
    <xf numFmtId="2" fontId="4" fillId="2" borderId="1" xfId="725" applyNumberFormat="1" applyFont="1" applyFill="1" applyBorder="1" applyAlignment="1"/>
    <xf numFmtId="0" fontId="3" fillId="0" borderId="0" xfId="725" applyFont="1" applyAlignment="1"/>
    <xf numFmtId="0" fontId="3" fillId="0" borderId="0" xfId="725" applyFont="1" applyAlignment="1">
      <alignment wrapText="1"/>
    </xf>
    <xf numFmtId="0" fontId="3" fillId="0" borderId="0" xfId="725" applyFont="1" applyFill="1" applyAlignment="1"/>
    <xf numFmtId="0" fontId="2" fillId="0" borderId="0" xfId="726"/>
    <xf numFmtId="2" fontId="2" fillId="0" borderId="0" xfId="726" applyNumberFormat="1"/>
    <xf numFmtId="0" fontId="2" fillId="0" borderId="0" xfId="726" applyFont="1" applyAlignment="1"/>
    <xf numFmtId="0" fontId="18" fillId="0" borderId="0" xfId="726" applyFont="1"/>
    <xf numFmtId="0" fontId="9" fillId="0" borderId="0" xfId="726" applyFont="1" applyAlignment="1"/>
    <xf numFmtId="0" fontId="9" fillId="0" borderId="0" xfId="726" applyFont="1" applyAlignment="1">
      <alignment wrapText="1"/>
    </xf>
    <xf numFmtId="0" fontId="9" fillId="0" borderId="0" xfId="0" applyFont="1" applyFill="1" applyAlignment="1"/>
    <xf numFmtId="0" fontId="5" fillId="0" borderId="0" xfId="725" applyFont="1" applyFill="1" applyAlignment="1">
      <alignment horizontal="right"/>
    </xf>
    <xf numFmtId="0" fontId="22" fillId="0" borderId="0" xfId="0" applyFont="1" applyFill="1" applyAlignment="1"/>
    <xf numFmtId="0" fontId="9" fillId="0" borderId="2" xfId="725" applyFont="1" applyBorder="1" applyAlignment="1"/>
    <xf numFmtId="0" fontId="5" fillId="2" borderId="1" xfId="10" applyNumberFormat="1" applyFont="1" applyFill="1" applyBorder="1" applyAlignment="1">
      <alignment horizontal="right"/>
    </xf>
    <xf numFmtId="0" fontId="5" fillId="2" borderId="1" xfId="10" applyNumberFormat="1" applyFont="1" applyFill="1" applyBorder="1" applyAlignment="1"/>
    <xf numFmtId="0" fontId="5" fillId="2" borderId="1" xfId="725" applyNumberFormat="1" applyFont="1" applyFill="1" applyBorder="1" applyAlignment="1">
      <alignment horizontal="right" vertical="center"/>
    </xf>
    <xf numFmtId="0" fontId="21" fillId="3" borderId="4" xfId="725" applyNumberFormat="1" applyFont="1" applyFill="1" applyBorder="1" applyAlignment="1"/>
    <xf numFmtId="0" fontId="5" fillId="3" borderId="3" xfId="725" applyNumberFormat="1" applyFont="1" applyFill="1" applyBorder="1" applyAlignment="1"/>
    <xf numFmtId="0" fontId="5" fillId="3" borderId="2" xfId="725" applyNumberFormat="1" applyFont="1" applyFill="1" applyBorder="1" applyAlignment="1"/>
    <xf numFmtId="0" fontId="5" fillId="0" borderId="0" xfId="725" applyNumberFormat="1" applyFont="1" applyAlignment="1"/>
    <xf numFmtId="164" fontId="5" fillId="2" borderId="1" xfId="9" applyNumberFormat="1" applyFont="1" applyFill="1" applyBorder="1" applyAlignment="1">
      <alignment horizontal="center"/>
    </xf>
    <xf numFmtId="164" fontId="5" fillId="2" borderId="1" xfId="9" applyNumberFormat="1" applyFont="1" applyFill="1" applyBorder="1" applyAlignment="1"/>
    <xf numFmtId="10" fontId="4" fillId="2" borderId="1" xfId="10" applyNumberFormat="1" applyFont="1" applyFill="1" applyBorder="1" applyAlignment="1">
      <alignment horizontal="right"/>
    </xf>
    <xf numFmtId="10" fontId="5" fillId="2" borderId="2" xfId="10" applyNumberFormat="1" applyFont="1" applyFill="1" applyBorder="1" applyAlignment="1">
      <alignment horizontal="right"/>
    </xf>
    <xf numFmtId="0" fontId="5" fillId="0" borderId="0" xfId="0" applyFont="1" applyAlignment="1">
      <alignment horizontal="left" indent="1"/>
    </xf>
    <xf numFmtId="43" fontId="5" fillId="0" borderId="0" xfId="0" applyNumberFormat="1" applyFont="1" applyAlignment="1">
      <alignment horizontal="left" indent="1"/>
    </xf>
    <xf numFmtId="0" fontId="9" fillId="5" borderId="1" xfId="0" applyFont="1" applyFill="1" applyBorder="1" applyAlignment="1">
      <alignment horizontal="left" indent="1"/>
    </xf>
    <xf numFmtId="0" fontId="5" fillId="0" borderId="0" xfId="0" applyFont="1" applyFill="1" applyAlignment="1">
      <alignment horizontal="right" wrapText="1"/>
    </xf>
    <xf numFmtId="0" fontId="9" fillId="5" borderId="1" xfId="0" applyFont="1" applyFill="1" applyBorder="1" applyAlignment="1">
      <alignment horizontal="left" wrapText="1" indent="1"/>
    </xf>
    <xf numFmtId="0" fontId="5" fillId="5" borderId="1" xfId="725" applyFont="1" applyFill="1" applyBorder="1" applyAlignment="1"/>
    <xf numFmtId="0" fontId="4" fillId="5" borderId="1" xfId="725" applyFont="1" applyFill="1" applyBorder="1" applyAlignment="1"/>
    <xf numFmtId="0" fontId="9" fillId="5" borderId="1" xfId="0" applyFont="1" applyFill="1" applyBorder="1" applyAlignment="1">
      <alignment horizontal="left" wrapText="1"/>
    </xf>
    <xf numFmtId="0" fontId="3" fillId="4" borderId="0" xfId="726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9" fillId="5" borderId="1" xfId="0" applyFont="1" applyFill="1" applyBorder="1" applyAlignment="1">
      <alignment horizontal="right" indent="1"/>
    </xf>
    <xf numFmtId="0" fontId="26" fillId="0" borderId="0" xfId="727" applyFont="1" applyFill="1"/>
    <xf numFmtId="0" fontId="27" fillId="0" borderId="0" xfId="727" applyFont="1" applyFill="1"/>
    <xf numFmtId="166" fontId="0" fillId="0" borderId="0" xfId="10" applyNumberFormat="1" applyFont="1"/>
    <xf numFmtId="0" fontId="0" fillId="0" borderId="0" xfId="0"/>
    <xf numFmtId="0" fontId="28" fillId="0" borderId="0" xfId="0" applyFont="1"/>
    <xf numFmtId="167" fontId="5" fillId="0" borderId="0" xfId="0" applyNumberFormat="1" applyFont="1" applyAlignment="1"/>
    <xf numFmtId="0" fontId="29" fillId="0" borderId="0" xfId="0" applyFont="1" applyAlignment="1">
      <alignment horizontal="right"/>
    </xf>
    <xf numFmtId="0" fontId="4" fillId="0" borderId="0" xfId="0" applyFont="1" applyFill="1" applyAlignment="1">
      <alignment horizontal="right" wrapText="1"/>
    </xf>
    <xf numFmtId="166" fontId="0" fillId="0" borderId="0" xfId="0" applyNumberFormat="1"/>
    <xf numFmtId="166" fontId="0" fillId="0" borderId="0" xfId="0" applyNumberFormat="1" applyFont="1" applyAlignment="1"/>
    <xf numFmtId="0" fontId="5" fillId="5" borderId="1" xfId="0" applyFont="1" applyFill="1" applyBorder="1" applyAlignment="1">
      <alignment horizontal="left" vertical="center" wrapText="1"/>
    </xf>
    <xf numFmtId="166" fontId="5" fillId="0" borderId="0" xfId="10" applyNumberFormat="1" applyFont="1" applyAlignment="1"/>
    <xf numFmtId="0" fontId="30" fillId="0" borderId="0" xfId="0" applyFont="1" applyAlignment="1"/>
    <xf numFmtId="0" fontId="5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/>
    <xf numFmtId="0" fontId="5" fillId="5" borderId="1" xfId="0" applyFont="1" applyFill="1" applyBorder="1" applyAlignment="1">
      <alignment horizontal="left" wrapText="1"/>
    </xf>
    <xf numFmtId="0" fontId="5" fillId="5" borderId="1" xfId="0" applyFont="1" applyFill="1" applyBorder="1" applyAlignment="1"/>
    <xf numFmtId="0" fontId="31" fillId="5" borderId="1" xfId="0" applyFont="1" applyFill="1" applyBorder="1"/>
    <xf numFmtId="0" fontId="32" fillId="5" borderId="1" xfId="727" applyFont="1" applyFill="1" applyBorder="1"/>
    <xf numFmtId="0" fontId="4" fillId="5" borderId="1" xfId="726" applyFont="1" applyFill="1" applyBorder="1" applyAlignment="1">
      <alignment horizontal="left"/>
    </xf>
    <xf numFmtId="2" fontId="10" fillId="2" borderId="1" xfId="725" applyNumberFormat="1" applyFont="1" applyFill="1" applyBorder="1" applyAlignment="1"/>
    <xf numFmtId="0" fontId="10" fillId="2" borderId="1" xfId="725" applyFont="1" applyFill="1" applyBorder="1" applyAlignment="1"/>
    <xf numFmtId="2" fontId="10" fillId="2" borderId="1" xfId="725" quotePrefix="1" applyNumberFormat="1" applyFont="1" applyFill="1" applyBorder="1" applyAlignment="1"/>
    <xf numFmtId="167" fontId="5" fillId="0" borderId="0" xfId="0" applyNumberFormat="1" applyFont="1" applyFill="1" applyBorder="1" applyAlignment="1"/>
    <xf numFmtId="0" fontId="28" fillId="0" borderId="0" xfId="0" applyFont="1" applyFill="1" applyBorder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5" fillId="5" borderId="3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vertical="center"/>
    </xf>
    <xf numFmtId="9" fontId="10" fillId="0" borderId="0" xfId="10" applyFont="1" applyFill="1" applyBorder="1" applyAlignment="1"/>
    <xf numFmtId="0" fontId="5" fillId="5" borderId="3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/>
    <xf numFmtId="166" fontId="0" fillId="2" borderId="1" xfId="10" applyNumberFormat="1" applyFont="1" applyFill="1" applyBorder="1"/>
    <xf numFmtId="166" fontId="5" fillId="2" borderId="1" xfId="10" applyNumberFormat="1" applyFont="1" applyFill="1" applyBorder="1" applyAlignment="1"/>
    <xf numFmtId="167" fontId="0" fillId="2" borderId="1" xfId="0" applyNumberFormat="1" applyFill="1" applyBorder="1"/>
    <xf numFmtId="166" fontId="0" fillId="2" borderId="1" xfId="10" applyNumberFormat="1" applyFont="1" applyFill="1" applyBorder="1" applyAlignment="1"/>
    <xf numFmtId="167" fontId="5" fillId="2" borderId="1" xfId="0" applyNumberFormat="1" applyFont="1" applyFill="1" applyBorder="1" applyAlignment="1"/>
    <xf numFmtId="0" fontId="5" fillId="0" borderId="0" xfId="0" applyNumberFormat="1" applyFont="1" applyAlignment="1"/>
    <xf numFmtId="166" fontId="1" fillId="2" borderId="1" xfId="10" applyNumberFormat="1" applyFont="1" applyFill="1" applyBorder="1"/>
    <xf numFmtId="166" fontId="5" fillId="2" borderId="1" xfId="10" applyNumberFormat="1" applyFont="1" applyFill="1" applyBorder="1" applyAlignment="1">
      <alignment horizontal="right"/>
    </xf>
    <xf numFmtId="0" fontId="0" fillId="2" borderId="1" xfId="0" applyFill="1" applyBorder="1"/>
    <xf numFmtId="10" fontId="0" fillId="2" borderId="1" xfId="10" applyNumberFormat="1" applyFont="1" applyFill="1" applyBorder="1"/>
    <xf numFmtId="166" fontId="0" fillId="2" borderId="1" xfId="0" applyNumberFormat="1" applyFill="1" applyBorder="1"/>
    <xf numFmtId="0" fontId="5" fillId="5" borderId="5" xfId="0" applyFont="1" applyFill="1" applyBorder="1" applyAlignment="1">
      <alignment vertical="center" wrapText="1"/>
    </xf>
    <xf numFmtId="0" fontId="5" fillId="5" borderId="7" xfId="0" applyFont="1" applyFill="1" applyBorder="1" applyAlignment="1">
      <alignment vertical="center" wrapText="1"/>
    </xf>
    <xf numFmtId="0" fontId="5" fillId="5" borderId="8" xfId="0" applyFont="1" applyFill="1" applyBorder="1" applyAlignment="1">
      <alignment vertical="center" wrapText="1"/>
    </xf>
    <xf numFmtId="43" fontId="5" fillId="5" borderId="3" xfId="0" applyNumberFormat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 indent="1"/>
    </xf>
    <xf numFmtId="0" fontId="5" fillId="5" borderId="1" xfId="0" applyFont="1" applyFill="1" applyBorder="1" applyAlignment="1">
      <alignment horizontal="left" vertical="center"/>
    </xf>
    <xf numFmtId="43" fontId="5" fillId="5" borderId="1" xfId="0" applyNumberFormat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 wrapText="1"/>
    </xf>
    <xf numFmtId="10" fontId="5" fillId="5" borderId="1" xfId="0" applyNumberFormat="1" applyFont="1" applyFill="1" applyBorder="1" applyAlignment="1">
      <alignment horizontal="center"/>
    </xf>
    <xf numFmtId="10" fontId="0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25" fillId="5" borderId="1" xfId="0" applyFont="1" applyFill="1" applyBorder="1" applyAlignment="1">
      <alignment horizontal="center" vertical="center" wrapText="1"/>
    </xf>
    <xf numFmtId="0" fontId="5" fillId="5" borderId="1" xfId="725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right"/>
    </xf>
    <xf numFmtId="0" fontId="26" fillId="0" borderId="0" xfId="727" applyFont="1" applyFill="1" applyAlignment="1">
      <alignment wrapText="1"/>
    </xf>
    <xf numFmtId="0" fontId="5" fillId="2" borderId="1" xfId="725" applyFont="1" applyFill="1" applyBorder="1" applyAlignment="1"/>
  </cellXfs>
  <cellStyles count="72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4020000}"/>
    <cellStyle name="Normal 3" xfId="726" xr:uid="{00000000-0005-0000-0000-0000D5020000}"/>
    <cellStyle name="Normal 4" xfId="727" xr:uid="{00000000-0005-0000-0000-000003030000}"/>
    <cellStyle name="Percent" xfId="10" builtinId="5"/>
    <cellStyle name="Percent 2" xfId="728" xr:uid="{00000000-0005-0000-0000-000004030000}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CCFFCC"/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20</xdr:row>
      <xdr:rowOff>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20</xdr:row>
      <xdr:rowOff>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20</xdr:row>
      <xdr:rowOff>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20</xdr:row>
      <xdr:rowOff>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20</xdr:row>
      <xdr:rowOff>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20</xdr:row>
      <xdr:rowOff>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20</xdr:row>
      <xdr:rowOff>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20</xdr:row>
      <xdr:rowOff>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20</xdr:row>
      <xdr:rowOff>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20</xdr:row>
      <xdr:rowOff>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20</xdr:row>
      <xdr:rowOff>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20</xdr:row>
      <xdr:rowOff>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20</xdr:row>
      <xdr:rowOff>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20</xdr:row>
      <xdr:rowOff>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20</xdr:row>
      <xdr:rowOff>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20</xdr:row>
      <xdr:rowOff>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20</xdr:row>
      <xdr:rowOff>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20</xdr:row>
      <xdr:rowOff>0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20</xdr:row>
      <xdr:rowOff>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H72"/>
  <sheetViews>
    <sheetView tabSelected="1" topLeftCell="E1" zoomScale="119" zoomScaleNormal="115" workbookViewId="0">
      <selection activeCell="F1" sqref="F1:AF1048576"/>
    </sheetView>
  </sheetViews>
  <sheetFormatPr defaultColWidth="14.36328125" defaultRowHeight="15.75" customHeight="1" x14ac:dyDescent="0.25"/>
  <cols>
    <col min="1" max="1" width="30.6328125" style="15" customWidth="1"/>
    <col min="2" max="2" width="38.54296875" style="19" customWidth="1"/>
    <col min="3" max="3" width="14.36328125" style="15" customWidth="1"/>
    <col min="4" max="4" width="30.453125" style="84" customWidth="1"/>
    <col min="5" max="5" width="58.08984375" style="15" customWidth="1"/>
    <col min="6" max="6" width="19.90625" style="15" customWidth="1"/>
    <col min="7" max="16384" width="14.36328125" style="15"/>
  </cols>
  <sheetData>
    <row r="1" spans="1:7" ht="27" customHeight="1" x14ac:dyDescent="0.35">
      <c r="A1" s="1" t="s">
        <v>100</v>
      </c>
      <c r="B1" s="48" t="s">
        <v>165</v>
      </c>
      <c r="C1" s="95" t="s">
        <v>213</v>
      </c>
      <c r="D1" s="110" t="s">
        <v>214</v>
      </c>
      <c r="E1" s="110" t="s">
        <v>215</v>
      </c>
      <c r="F1" s="95"/>
      <c r="G1" s="96"/>
    </row>
    <row r="2" spans="1:7" ht="16" customHeight="1" x14ac:dyDescent="0.3">
      <c r="A2" s="15" t="s">
        <v>192</v>
      </c>
      <c r="B2" s="48"/>
    </row>
    <row r="3" spans="1:7" ht="16" customHeight="1" x14ac:dyDescent="0.3">
      <c r="A3" s="1"/>
      <c r="B3" s="9" t="s">
        <v>194</v>
      </c>
      <c r="C3" s="73">
        <v>2017</v>
      </c>
    </row>
    <row r="4" spans="1:7" ht="16" customHeight="1" x14ac:dyDescent="0.3">
      <c r="A4" s="1"/>
      <c r="B4" s="12" t="s">
        <v>193</v>
      </c>
      <c r="C4" s="74">
        <v>2030</v>
      </c>
    </row>
    <row r="5" spans="1:7" ht="16" customHeight="1" x14ac:dyDescent="0.3">
      <c r="A5" s="1"/>
      <c r="B5" s="48"/>
    </row>
    <row r="6" spans="1:7" ht="15" customHeight="1" x14ac:dyDescent="0.25">
      <c r="A6" s="15" t="s">
        <v>48</v>
      </c>
    </row>
    <row r="7" spans="1:7" ht="15" customHeight="1" x14ac:dyDescent="0.35">
      <c r="B7" s="9" t="s">
        <v>106</v>
      </c>
      <c r="C7" s="135">
        <v>0.45</v>
      </c>
      <c r="D7" s="108" t="s">
        <v>203</v>
      </c>
      <c r="E7" s="112" t="s">
        <v>251</v>
      </c>
      <c r="F7" s="98"/>
    </row>
    <row r="8" spans="1:7" ht="38.25" customHeight="1" x14ac:dyDescent="0.3">
      <c r="A8" s="107"/>
      <c r="B8" s="12" t="s">
        <v>107</v>
      </c>
      <c r="C8" s="129">
        <v>8.3099999999999993E-2</v>
      </c>
      <c r="D8" s="108" t="s">
        <v>216</v>
      </c>
      <c r="E8" s="111" t="s">
        <v>227</v>
      </c>
      <c r="F8" s="98"/>
    </row>
    <row r="9" spans="1:7" ht="38.25" customHeight="1" x14ac:dyDescent="0.3">
      <c r="A9" s="107"/>
      <c r="B9" s="12"/>
      <c r="C9" s="130">
        <v>0.1444</v>
      </c>
      <c r="D9" s="108" t="s">
        <v>216</v>
      </c>
      <c r="E9" s="111" t="s">
        <v>228</v>
      </c>
      <c r="F9" s="98"/>
      <c r="G9" s="16"/>
    </row>
    <row r="10" spans="1:7" ht="15" customHeight="1" x14ac:dyDescent="0.3">
      <c r="A10" s="107"/>
      <c r="B10" s="12" t="s">
        <v>105</v>
      </c>
      <c r="C10" s="129">
        <v>0.73960000000000004</v>
      </c>
      <c r="D10" s="108" t="s">
        <v>216</v>
      </c>
      <c r="E10" s="112"/>
    </row>
    <row r="11" spans="1:7" ht="15" customHeight="1" x14ac:dyDescent="0.3">
      <c r="A11" s="107"/>
      <c r="B11" s="9" t="s">
        <v>108</v>
      </c>
      <c r="C11" s="129">
        <v>0.50860000000000005</v>
      </c>
      <c r="D11" s="108" t="s">
        <v>216</v>
      </c>
      <c r="E11" s="112" t="s">
        <v>238</v>
      </c>
      <c r="F11" s="98"/>
    </row>
    <row r="12" spans="1:7" ht="15" customHeight="1" x14ac:dyDescent="0.3">
      <c r="A12" s="107"/>
      <c r="B12" s="9" t="s">
        <v>109</v>
      </c>
      <c r="C12" s="129">
        <v>0.38200000000000001</v>
      </c>
      <c r="D12" s="108" t="s">
        <v>216</v>
      </c>
      <c r="E12" s="112" t="s">
        <v>239</v>
      </c>
      <c r="F12" s="98"/>
    </row>
    <row r="13" spans="1:7" ht="15" customHeight="1" x14ac:dyDescent="0.3">
      <c r="A13" s="107"/>
      <c r="B13" s="9" t="s">
        <v>110</v>
      </c>
      <c r="C13" s="129">
        <v>0.317</v>
      </c>
      <c r="D13" s="108" t="s">
        <v>216</v>
      </c>
      <c r="E13" s="112"/>
      <c r="F13" s="98"/>
    </row>
    <row r="14" spans="1:7" ht="15" customHeight="1" x14ac:dyDescent="0.25">
      <c r="B14" s="15"/>
    </row>
    <row r="15" spans="1:7" ht="15" customHeight="1" x14ac:dyDescent="0.3">
      <c r="A15" s="15" t="s">
        <v>30</v>
      </c>
      <c r="B15" s="21"/>
    </row>
    <row r="16" spans="1:7" ht="15" customHeight="1" x14ac:dyDescent="0.25">
      <c r="B16" s="12" t="s">
        <v>94</v>
      </c>
      <c r="C16" s="130">
        <v>0.59699999999999998</v>
      </c>
      <c r="D16" s="108" t="s">
        <v>249</v>
      </c>
      <c r="E16" s="112" t="s">
        <v>253</v>
      </c>
    </row>
    <row r="17" spans="1:8" ht="15" customHeight="1" x14ac:dyDescent="0.25">
      <c r="B17" s="12" t="s">
        <v>95</v>
      </c>
      <c r="C17" s="130"/>
      <c r="D17" s="144"/>
      <c r="E17" s="112"/>
    </row>
    <row r="18" spans="1:8" ht="15" customHeight="1" x14ac:dyDescent="0.25">
      <c r="B18" s="12" t="s">
        <v>96</v>
      </c>
      <c r="C18" s="130"/>
      <c r="D18" s="144"/>
      <c r="E18" s="112"/>
    </row>
    <row r="19" spans="1:8" ht="15" customHeight="1" x14ac:dyDescent="0.25">
      <c r="B19" s="12" t="s">
        <v>97</v>
      </c>
      <c r="C19" s="130"/>
      <c r="D19" s="144"/>
      <c r="E19" s="112"/>
    </row>
    <row r="20" spans="1:8" ht="15" customHeight="1" x14ac:dyDescent="0.25">
      <c r="B20" s="12" t="s">
        <v>98</v>
      </c>
      <c r="C20" s="106"/>
    </row>
    <row r="21" spans="1:8" ht="15" customHeight="1" x14ac:dyDescent="0.25">
      <c r="B21" s="15"/>
      <c r="C21" s="106"/>
    </row>
    <row r="22" spans="1:8" ht="15" customHeight="1" x14ac:dyDescent="0.25">
      <c r="A22" s="15" t="s">
        <v>99</v>
      </c>
      <c r="C22" s="106"/>
    </row>
    <row r="23" spans="1:8" ht="15" customHeight="1" x14ac:dyDescent="0.35">
      <c r="A23" s="107"/>
      <c r="B23" s="22" t="s">
        <v>101</v>
      </c>
      <c r="C23" s="129">
        <v>0.1193</v>
      </c>
      <c r="D23" s="145" t="s">
        <v>216</v>
      </c>
      <c r="E23" s="113" t="s">
        <v>217</v>
      </c>
      <c r="F23" s="103"/>
      <c r="G23" s="99"/>
    </row>
    <row r="24" spans="1:8" ht="15" customHeight="1" x14ac:dyDescent="0.35">
      <c r="A24" s="107"/>
      <c r="B24" s="22" t="s">
        <v>102</v>
      </c>
      <c r="C24" s="129">
        <v>0.49880000000000002</v>
      </c>
      <c r="D24" s="145"/>
      <c r="E24" s="113" t="s">
        <v>217</v>
      </c>
      <c r="F24" s="103"/>
      <c r="G24" s="99"/>
    </row>
    <row r="25" spans="1:8" ht="15" customHeight="1" x14ac:dyDescent="0.35">
      <c r="A25" s="107"/>
      <c r="B25" s="22" t="s">
        <v>103</v>
      </c>
      <c r="C25" s="129">
        <v>0.33710000000000001</v>
      </c>
      <c r="D25" s="145"/>
      <c r="E25" s="113" t="s">
        <v>217</v>
      </c>
      <c r="F25" s="103"/>
      <c r="G25" s="99"/>
    </row>
    <row r="26" spans="1:8" ht="15" customHeight="1" x14ac:dyDescent="0.35">
      <c r="A26" s="107"/>
      <c r="B26" s="22" t="s">
        <v>104</v>
      </c>
      <c r="C26" s="129">
        <v>4.4699999999999997E-2</v>
      </c>
      <c r="D26" s="145"/>
      <c r="E26" s="113" t="s">
        <v>217</v>
      </c>
      <c r="F26" s="103"/>
      <c r="G26" s="99"/>
    </row>
    <row r="27" spans="1:8" ht="15" customHeight="1" x14ac:dyDescent="0.25">
      <c r="B27" s="22"/>
      <c r="C27" s="106"/>
    </row>
    <row r="28" spans="1:8" ht="15" customHeight="1" x14ac:dyDescent="0.25">
      <c r="A28" s="15" t="s">
        <v>197</v>
      </c>
      <c r="B28" s="22"/>
      <c r="C28" s="106"/>
      <c r="D28"/>
    </row>
    <row r="29" spans="1:8" ht="14.25" customHeight="1" x14ac:dyDescent="0.3">
      <c r="A29" s="107"/>
      <c r="B29" s="34" t="s">
        <v>75</v>
      </c>
      <c r="C29" s="132">
        <v>0.1739</v>
      </c>
      <c r="D29" s="145" t="s">
        <v>216</v>
      </c>
      <c r="E29" s="140"/>
      <c r="F29" s="98"/>
    </row>
    <row r="30" spans="1:8" ht="14.25" customHeight="1" x14ac:dyDescent="0.35">
      <c r="A30" s="107"/>
      <c r="B30" s="34" t="s">
        <v>76</v>
      </c>
      <c r="C30" s="132">
        <v>8.7599999999999997E-2</v>
      </c>
      <c r="D30" s="145"/>
      <c r="E30" s="141"/>
      <c r="F30" s="98"/>
      <c r="G30" s="99"/>
      <c r="H30" s="98"/>
    </row>
    <row r="31" spans="1:8" ht="14.25" customHeight="1" x14ac:dyDescent="0.35">
      <c r="A31" s="107"/>
      <c r="B31" s="34" t="s">
        <v>77</v>
      </c>
      <c r="C31" s="132">
        <v>0.13120000000000001</v>
      </c>
      <c r="D31" s="145"/>
      <c r="E31" s="141"/>
      <c r="F31" s="98"/>
      <c r="G31" s="99"/>
      <c r="H31" s="98"/>
    </row>
    <row r="32" spans="1:8" ht="14.25" customHeight="1" x14ac:dyDescent="0.3">
      <c r="A32" s="107"/>
      <c r="B32" s="34" t="s">
        <v>78</v>
      </c>
      <c r="C32" s="132">
        <v>0.60740000000000005</v>
      </c>
      <c r="D32" s="145"/>
      <c r="E32" s="142"/>
      <c r="F32" s="98"/>
    </row>
    <row r="33" spans="1:7" ht="13" x14ac:dyDescent="0.25">
      <c r="B33" s="36" t="s">
        <v>130</v>
      </c>
      <c r="C33" s="134"/>
    </row>
    <row r="34" spans="1:7" ht="15" customHeight="1" x14ac:dyDescent="0.25">
      <c r="C34" s="134"/>
    </row>
    <row r="35" spans="1:7" ht="15" customHeight="1" x14ac:dyDescent="0.3">
      <c r="A35" s="4" t="s">
        <v>136</v>
      </c>
      <c r="C35" s="134"/>
    </row>
    <row r="36" spans="1:7" ht="15" customHeight="1" x14ac:dyDescent="0.25">
      <c r="A36" s="15" t="s">
        <v>74</v>
      </c>
      <c r="B36" s="9"/>
      <c r="C36" s="134"/>
      <c r="D36"/>
    </row>
    <row r="37" spans="1:7" ht="15" customHeight="1" x14ac:dyDescent="0.3">
      <c r="A37" s="107"/>
      <c r="B37" s="49" t="s">
        <v>92</v>
      </c>
      <c r="C37" s="133">
        <v>25.3947</v>
      </c>
      <c r="D37" s="145" t="s">
        <v>216</v>
      </c>
      <c r="E37" s="125"/>
      <c r="F37" s="100"/>
      <c r="G37" s="100"/>
    </row>
    <row r="38" spans="1:7" ht="15" customHeight="1" x14ac:dyDescent="0.3">
      <c r="A38" s="107"/>
      <c r="B38" s="19" t="s">
        <v>91</v>
      </c>
      <c r="C38" s="133">
        <v>48.970700000000001</v>
      </c>
      <c r="D38" s="145"/>
      <c r="E38" s="125"/>
      <c r="F38" s="100"/>
      <c r="G38" s="100"/>
    </row>
    <row r="39" spans="1:7" ht="15" customHeight="1" x14ac:dyDescent="0.3">
      <c r="A39" s="107"/>
      <c r="B39" s="19" t="s">
        <v>90</v>
      </c>
      <c r="C39" s="133">
        <v>78.497</v>
      </c>
      <c r="D39" s="145"/>
      <c r="E39" s="125"/>
      <c r="F39" s="100"/>
      <c r="G39" s="119"/>
    </row>
    <row r="40" spans="1:7" ht="15" customHeight="1" x14ac:dyDescent="0.35">
      <c r="B40" s="19" t="s">
        <v>237</v>
      </c>
      <c r="C40" s="131">
        <v>846</v>
      </c>
      <c r="D40" s="145"/>
      <c r="E40" s="125" t="s">
        <v>245</v>
      </c>
      <c r="F40" s="98"/>
      <c r="G40" s="120"/>
    </row>
    <row r="41" spans="1:7" ht="26.65" customHeight="1" x14ac:dyDescent="0.25">
      <c r="B41" s="19" t="s">
        <v>89</v>
      </c>
      <c r="C41" s="130">
        <v>0.13</v>
      </c>
      <c r="D41" s="105" t="s">
        <v>205</v>
      </c>
      <c r="E41" s="124" t="s">
        <v>254</v>
      </c>
      <c r="F41" s="98"/>
      <c r="G41" s="121"/>
    </row>
    <row r="42" spans="1:7" ht="15" customHeight="1" x14ac:dyDescent="0.25">
      <c r="B42" s="49" t="s">
        <v>93</v>
      </c>
      <c r="C42" s="133">
        <v>27.27</v>
      </c>
      <c r="D42" s="109" t="s">
        <v>240</v>
      </c>
      <c r="E42" s="125" t="s">
        <v>255</v>
      </c>
      <c r="G42" s="122"/>
    </row>
    <row r="43" spans="1:7" ht="15.75" customHeight="1" x14ac:dyDescent="0.25">
      <c r="C43" s="134"/>
      <c r="D43" s="85"/>
      <c r="G43" s="123"/>
    </row>
    <row r="44" spans="1:7" ht="15.75" customHeight="1" x14ac:dyDescent="0.25">
      <c r="A44" s="15" t="s">
        <v>134</v>
      </c>
      <c r="C44" s="134"/>
      <c r="D44"/>
    </row>
    <row r="45" spans="1:7" ht="15.75" customHeight="1" x14ac:dyDescent="0.25">
      <c r="B45" s="19" t="s">
        <v>9</v>
      </c>
      <c r="C45" s="130">
        <v>1.9099999999999999E-2</v>
      </c>
      <c r="D45" s="146" t="s">
        <v>241</v>
      </c>
      <c r="E45" s="143" t="s">
        <v>256</v>
      </c>
    </row>
    <row r="46" spans="1:7" ht="15.75" customHeight="1" x14ac:dyDescent="0.25">
      <c r="B46" s="19" t="s">
        <v>11</v>
      </c>
      <c r="C46" s="130">
        <v>9.98E-2</v>
      </c>
      <c r="D46" s="146"/>
      <c r="E46" s="143"/>
    </row>
    <row r="47" spans="1:7" ht="15.75" customHeight="1" x14ac:dyDescent="0.25">
      <c r="B47" s="19" t="s">
        <v>12</v>
      </c>
      <c r="C47" s="130">
        <v>0.2</v>
      </c>
      <c r="D47" s="146"/>
      <c r="E47" s="143"/>
    </row>
    <row r="48" spans="1:7" ht="15" customHeight="1" x14ac:dyDescent="0.25">
      <c r="B48" s="19" t="s">
        <v>26</v>
      </c>
      <c r="C48" s="126"/>
      <c r="D48" s="85"/>
      <c r="E48" s="20"/>
    </row>
    <row r="49" spans="1:7" ht="15.75" customHeight="1" x14ac:dyDescent="0.25">
      <c r="D49" s="85"/>
    </row>
    <row r="50" spans="1:7" ht="15.75" customHeight="1" x14ac:dyDescent="0.25">
      <c r="A50" s="15" t="s">
        <v>72</v>
      </c>
      <c r="D50"/>
    </row>
    <row r="51" spans="1:7" ht="15.75" customHeight="1" x14ac:dyDescent="0.25">
      <c r="B51" s="19" t="s">
        <v>125</v>
      </c>
      <c r="C51" s="7">
        <v>3.3</v>
      </c>
      <c r="D51" s="146" t="s">
        <v>242</v>
      </c>
      <c r="E51" s="143" t="s">
        <v>257</v>
      </c>
    </row>
    <row r="52" spans="1:7" ht="15" customHeight="1" x14ac:dyDescent="0.25">
      <c r="B52" s="19" t="s">
        <v>126</v>
      </c>
      <c r="C52" s="7">
        <v>3.3</v>
      </c>
      <c r="D52" s="146"/>
      <c r="E52" s="143"/>
    </row>
    <row r="53" spans="1:7" ht="15.75" customHeight="1" x14ac:dyDescent="0.25">
      <c r="B53" s="19" t="s">
        <v>127</v>
      </c>
      <c r="C53" s="7">
        <v>3.3</v>
      </c>
      <c r="D53" s="146"/>
      <c r="E53" s="143"/>
    </row>
    <row r="54" spans="1:7" ht="15.75" customHeight="1" x14ac:dyDescent="0.25">
      <c r="B54" s="19" t="s">
        <v>128</v>
      </c>
      <c r="C54" s="7">
        <v>3.3</v>
      </c>
      <c r="D54" s="146"/>
      <c r="E54" s="143"/>
    </row>
    <row r="55" spans="1:7" ht="15.75" customHeight="1" x14ac:dyDescent="0.25">
      <c r="B55" s="19" t="s">
        <v>129</v>
      </c>
      <c r="C55" s="7">
        <v>3.3</v>
      </c>
      <c r="D55" s="146"/>
      <c r="E55" s="143"/>
    </row>
    <row r="57" spans="1:7" ht="15.75" customHeight="1" x14ac:dyDescent="0.25">
      <c r="A57" s="15" t="s">
        <v>135</v>
      </c>
      <c r="D57"/>
    </row>
    <row r="58" spans="1:7" ht="15.75" customHeight="1" x14ac:dyDescent="0.35">
      <c r="B58" s="9" t="s">
        <v>111</v>
      </c>
      <c r="C58" s="129">
        <v>0.1895</v>
      </c>
      <c r="D58" s="108" t="s">
        <v>216</v>
      </c>
      <c r="E58" s="128" t="s">
        <v>218</v>
      </c>
      <c r="F58" s="98"/>
      <c r="G58" s="99"/>
    </row>
    <row r="59" spans="1:7" ht="65.650000000000006" customHeight="1" x14ac:dyDescent="0.25">
      <c r="B59" s="19" t="s">
        <v>133</v>
      </c>
      <c r="C59" s="136">
        <v>0.43519999999999998</v>
      </c>
      <c r="D59" s="105" t="s">
        <v>243</v>
      </c>
      <c r="E59" s="127" t="s">
        <v>244</v>
      </c>
    </row>
    <row r="60" spans="1:7" ht="15.75" customHeight="1" x14ac:dyDescent="0.25">
      <c r="C60" s="106"/>
    </row>
    <row r="61" spans="1:7" ht="15.75" customHeight="1" x14ac:dyDescent="0.3">
      <c r="A61" s="101" t="s">
        <v>219</v>
      </c>
      <c r="C61" s="97"/>
      <c r="F61" s="98"/>
    </row>
    <row r="62" spans="1:7" ht="15.75" customHeight="1" x14ac:dyDescent="0.3">
      <c r="A62" s="107"/>
      <c r="B62" s="29" t="s">
        <v>220</v>
      </c>
      <c r="C62" s="129">
        <v>0.13400000000000001</v>
      </c>
      <c r="D62" s="108" t="s">
        <v>216</v>
      </c>
      <c r="E62" s="112"/>
      <c r="F62" s="98"/>
    </row>
    <row r="63" spans="1:7" ht="15.75" customHeight="1" x14ac:dyDescent="0.3">
      <c r="A63" s="107"/>
      <c r="B63" s="29" t="s">
        <v>221</v>
      </c>
      <c r="C63" s="129">
        <v>2.5000000000000001E-2</v>
      </c>
      <c r="D63" s="108" t="s">
        <v>216</v>
      </c>
      <c r="E63" s="112"/>
      <c r="F63" s="98"/>
    </row>
    <row r="64" spans="1:7" ht="15.75" customHeight="1" x14ac:dyDescent="0.3">
      <c r="A64" s="107"/>
      <c r="B64" s="102" t="s">
        <v>222</v>
      </c>
      <c r="C64" s="129">
        <v>0</v>
      </c>
      <c r="D64" s="108" t="s">
        <v>216</v>
      </c>
      <c r="E64" s="112"/>
      <c r="F64" s="98"/>
    </row>
    <row r="65" spans="1:6" ht="15.75" customHeight="1" x14ac:dyDescent="0.3">
      <c r="A65" s="107"/>
      <c r="B65" s="102" t="s">
        <v>223</v>
      </c>
      <c r="C65" s="129">
        <v>3.5400000000000001E-2</v>
      </c>
      <c r="D65" s="108" t="s">
        <v>216</v>
      </c>
      <c r="E65" s="112"/>
      <c r="F65" s="98"/>
    </row>
    <row r="66" spans="1:6" ht="15.75" customHeight="1" x14ac:dyDescent="0.3">
      <c r="A66" s="107"/>
      <c r="B66" s="102" t="s">
        <v>224</v>
      </c>
      <c r="C66" s="129">
        <v>0.31440000000000001</v>
      </c>
      <c r="D66" s="108" t="s">
        <v>216</v>
      </c>
      <c r="E66" s="112"/>
      <c r="F66" s="98"/>
    </row>
    <row r="67" spans="1:6" ht="15.75" customHeight="1" x14ac:dyDescent="0.3">
      <c r="A67" s="107"/>
      <c r="B67" s="102" t="s">
        <v>225</v>
      </c>
      <c r="C67" s="129">
        <v>0.27579999999999999</v>
      </c>
      <c r="D67" s="108" t="s">
        <v>216</v>
      </c>
      <c r="E67" s="112"/>
      <c r="F67" s="98"/>
    </row>
    <row r="68" spans="1:6" ht="15.75" customHeight="1" x14ac:dyDescent="0.3">
      <c r="A68" s="107"/>
      <c r="B68" s="102" t="s">
        <v>226</v>
      </c>
      <c r="C68" s="129">
        <v>7.7299999999999994E-2</v>
      </c>
      <c r="D68" s="108" t="s">
        <v>216</v>
      </c>
      <c r="E68" s="112"/>
      <c r="F68" s="98"/>
    </row>
    <row r="69" spans="1:6" ht="15.75" customHeight="1" x14ac:dyDescent="0.25">
      <c r="B69" s="102"/>
      <c r="C69" s="97"/>
      <c r="F69" s="98"/>
    </row>
    <row r="70" spans="1:6" ht="15.75" customHeight="1" x14ac:dyDescent="0.3">
      <c r="A70" s="107"/>
      <c r="B70" s="19" t="s">
        <v>229</v>
      </c>
      <c r="C70" s="129">
        <v>0.13400000000000001</v>
      </c>
      <c r="D70" s="108" t="s">
        <v>216</v>
      </c>
      <c r="E70" s="112"/>
      <c r="F70" s="98"/>
    </row>
    <row r="71" spans="1:6" ht="15.75" customHeight="1" x14ac:dyDescent="0.25">
      <c r="C71" s="106"/>
    </row>
    <row r="72" spans="1:6" ht="15.75" customHeight="1" x14ac:dyDescent="0.25">
      <c r="B72" s="19" t="s">
        <v>250</v>
      </c>
      <c r="C72" s="129">
        <v>0.91980000000000006</v>
      </c>
      <c r="D72" s="108" t="s">
        <v>252</v>
      </c>
      <c r="E72" s="112" t="s">
        <v>251</v>
      </c>
    </row>
  </sheetData>
  <mergeCells count="9">
    <mergeCell ref="E29:E32"/>
    <mergeCell ref="E45:E47"/>
    <mergeCell ref="E51:E55"/>
    <mergeCell ref="D17:D19"/>
    <mergeCell ref="D23:D26"/>
    <mergeCell ref="D29:D32"/>
    <mergeCell ref="D37:D40"/>
    <mergeCell ref="D45:D47"/>
    <mergeCell ref="D51:D55"/>
  </mergeCell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F9"/>
  <sheetViews>
    <sheetView zoomScale="60" zoomScaleNormal="60" workbookViewId="0">
      <selection activeCell="F20" sqref="F20"/>
    </sheetView>
  </sheetViews>
  <sheetFormatPr defaultColWidth="10.81640625" defaultRowHeight="15.5" x14ac:dyDescent="0.35"/>
  <cols>
    <col min="1" max="1" width="18.54296875" style="63" customWidth="1"/>
    <col min="2" max="5" width="10.81640625" style="63"/>
    <col min="6" max="6" width="17.7265625" style="63" customWidth="1"/>
    <col min="7" max="16384" width="10.81640625" style="63"/>
  </cols>
  <sheetData>
    <row r="1" spans="1:6" ht="52.5" x14ac:dyDescent="0.35">
      <c r="A1" s="68" t="s">
        <v>195</v>
      </c>
      <c r="B1" s="67" t="s">
        <v>176</v>
      </c>
      <c r="C1" s="67" t="s">
        <v>175</v>
      </c>
      <c r="D1" s="67" t="s">
        <v>174</v>
      </c>
      <c r="E1" s="67" t="s">
        <v>173</v>
      </c>
      <c r="F1" s="91" t="s">
        <v>209</v>
      </c>
    </row>
    <row r="2" spans="1:6" x14ac:dyDescent="0.35">
      <c r="A2" s="66" t="s">
        <v>165</v>
      </c>
      <c r="B2" s="65" t="s">
        <v>32</v>
      </c>
      <c r="C2" s="59">
        <f>1.5*0.61</f>
        <v>0.91500000000000004</v>
      </c>
      <c r="D2" s="59">
        <f>0.5*0.61</f>
        <v>0.30499999999999999</v>
      </c>
      <c r="E2" s="59">
        <v>0.05</v>
      </c>
      <c r="F2" s="154" t="s">
        <v>210</v>
      </c>
    </row>
    <row r="3" spans="1:6" x14ac:dyDescent="0.35">
      <c r="A3" s="65"/>
      <c r="B3" s="65" t="s">
        <v>1</v>
      </c>
      <c r="C3" s="59">
        <f>1.5*0.61</f>
        <v>0.91500000000000004</v>
      </c>
      <c r="D3" s="59">
        <f>0.5*0.61</f>
        <v>0.30499999999999999</v>
      </c>
      <c r="E3" s="59">
        <v>0.05</v>
      </c>
      <c r="F3" s="154"/>
    </row>
    <row r="4" spans="1:6" x14ac:dyDescent="0.35">
      <c r="A4" s="65"/>
      <c r="B4" s="65" t="s">
        <v>2</v>
      </c>
      <c r="C4" s="59">
        <f>1.5*0.61</f>
        <v>0.91500000000000004</v>
      </c>
      <c r="D4" s="59">
        <f>0.5*0.61</f>
        <v>0.30499999999999999</v>
      </c>
      <c r="E4" s="59">
        <v>0.05</v>
      </c>
      <c r="F4" s="154"/>
    </row>
    <row r="5" spans="1:6" x14ac:dyDescent="0.35">
      <c r="A5" s="65"/>
      <c r="B5" s="65" t="s">
        <v>3</v>
      </c>
      <c r="C5" s="59">
        <f>1.5*0.61</f>
        <v>0.91500000000000004</v>
      </c>
      <c r="D5" s="59">
        <f>0.5*0.61</f>
        <v>0.30499999999999999</v>
      </c>
      <c r="E5" s="59">
        <v>0.05</v>
      </c>
      <c r="F5" s="154"/>
    </row>
    <row r="6" spans="1:6" x14ac:dyDescent="0.35">
      <c r="A6" s="65"/>
      <c r="B6" s="65" t="s">
        <v>4</v>
      </c>
      <c r="C6" s="59">
        <f>1.5*0.61</f>
        <v>0.91500000000000004</v>
      </c>
      <c r="D6" s="59">
        <f>0.5*0.61</f>
        <v>0.30499999999999999</v>
      </c>
      <c r="E6" s="59">
        <v>0.05</v>
      </c>
      <c r="F6" s="154"/>
    </row>
    <row r="9" spans="1:6" x14ac:dyDescent="0.35">
      <c r="C9" s="64"/>
    </row>
  </sheetData>
  <mergeCells count="1">
    <mergeCell ref="F2:F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18"/>
  <sheetViews>
    <sheetView zoomScale="60" zoomScaleNormal="60" workbookViewId="0">
      <selection activeCell="F32" sqref="F32"/>
    </sheetView>
  </sheetViews>
  <sheetFormatPr defaultColWidth="11.36328125" defaultRowHeight="12.5" x14ac:dyDescent="0.25"/>
  <cols>
    <col min="1" max="1" width="53" style="57" bestFit="1" customWidth="1"/>
    <col min="2" max="2" width="47.81640625" style="42" customWidth="1"/>
    <col min="3" max="3" width="42.36328125" style="42" customWidth="1"/>
    <col min="4" max="16384" width="11.36328125" style="42"/>
  </cols>
  <sheetData>
    <row r="1" spans="1:3" ht="13" x14ac:dyDescent="0.3">
      <c r="A1" s="47" t="s">
        <v>69</v>
      </c>
      <c r="B1" s="47" t="s">
        <v>179</v>
      </c>
      <c r="C1" s="47" t="s">
        <v>178</v>
      </c>
    </row>
    <row r="2" spans="1:3" x14ac:dyDescent="0.25">
      <c r="A2" s="14" t="s">
        <v>186</v>
      </c>
      <c r="B2" s="53" t="s">
        <v>59</v>
      </c>
      <c r="C2" s="53"/>
    </row>
    <row r="3" spans="1:3" x14ac:dyDescent="0.25">
      <c r="A3" s="14" t="s">
        <v>191</v>
      </c>
      <c r="B3" s="53" t="s">
        <v>59</v>
      </c>
      <c r="C3" s="53"/>
    </row>
    <row r="4" spans="1:3" x14ac:dyDescent="0.25">
      <c r="A4" s="57" t="s">
        <v>58</v>
      </c>
      <c r="B4" s="53" t="s">
        <v>137</v>
      </c>
      <c r="C4" s="53"/>
    </row>
    <row r="5" spans="1:3" x14ac:dyDescent="0.25">
      <c r="A5" s="57" t="s">
        <v>138</v>
      </c>
      <c r="B5" s="53" t="s">
        <v>137</v>
      </c>
      <c r="C5" s="53"/>
    </row>
    <row r="11" spans="1:3" x14ac:dyDescent="0.25">
      <c r="A11" s="38"/>
    </row>
    <row r="12" spans="1:3" x14ac:dyDescent="0.25">
      <c r="A12" s="38"/>
    </row>
    <row r="13" spans="1:3" x14ac:dyDescent="0.25">
      <c r="A13" s="38"/>
    </row>
    <row r="14" spans="1:3" x14ac:dyDescent="0.25">
      <c r="A14" s="38"/>
    </row>
    <row r="15" spans="1:3" x14ac:dyDescent="0.25">
      <c r="A15" s="38"/>
    </row>
    <row r="16" spans="1:3" x14ac:dyDescent="0.25">
      <c r="A16" s="38"/>
    </row>
    <row r="17" spans="1:1" x14ac:dyDescent="0.25">
      <c r="A17" s="38"/>
    </row>
    <row r="18" spans="1:1" x14ac:dyDescent="0.25">
      <c r="A18" s="3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36328125" defaultRowHeight="12.5" x14ac:dyDescent="0.25"/>
  <cols>
    <col min="1" max="1" width="30.08984375" style="42" customWidth="1"/>
    <col min="2" max="16384" width="11.36328125" style="42"/>
  </cols>
  <sheetData>
    <row r="1" spans="1:1" ht="13" x14ac:dyDescent="0.3">
      <c r="A1" s="47" t="s">
        <v>69</v>
      </c>
    </row>
    <row r="2" spans="1:1" x14ac:dyDescent="0.25">
      <c r="A2" s="53" t="s">
        <v>198</v>
      </c>
    </row>
    <row r="3" spans="1:1" x14ac:dyDescent="0.25">
      <c r="A3" s="53" t="s">
        <v>57</v>
      </c>
    </row>
    <row r="4" spans="1:1" x14ac:dyDescent="0.25">
      <c r="A4" s="53" t="s">
        <v>34</v>
      </c>
    </row>
    <row r="5" spans="1:1" x14ac:dyDescent="0.25">
      <c r="A5" s="53" t="s">
        <v>83</v>
      </c>
    </row>
    <row r="6" spans="1:1" x14ac:dyDescent="0.25">
      <c r="A6" s="53" t="s">
        <v>82</v>
      </c>
    </row>
    <row r="7" spans="1:1" x14ac:dyDescent="0.25">
      <c r="A7" s="53" t="s">
        <v>81</v>
      </c>
    </row>
    <row r="8" spans="1:1" x14ac:dyDescent="0.25">
      <c r="A8" s="53" t="s">
        <v>79</v>
      </c>
    </row>
    <row r="9" spans="1:1" x14ac:dyDescent="0.25">
      <c r="A9" s="53" t="s">
        <v>80</v>
      </c>
    </row>
    <row r="10" spans="1:1" x14ac:dyDescent="0.25">
      <c r="A10" s="53"/>
    </row>
    <row r="11" spans="1:1" x14ac:dyDescent="0.25">
      <c r="A11" s="53"/>
    </row>
    <row r="12" spans="1:1" x14ac:dyDescent="0.25">
      <c r="A12" s="53"/>
    </row>
    <row r="13" spans="1:1" x14ac:dyDescent="0.25">
      <c r="A13" s="53"/>
    </row>
    <row r="14" spans="1:1" x14ac:dyDescent="0.25">
      <c r="A14" s="53"/>
    </row>
    <row r="15" spans="1:1" x14ac:dyDescent="0.25">
      <c r="A15" s="53"/>
    </row>
    <row r="16" spans="1:1" x14ac:dyDescent="0.25">
      <c r="A16" s="53"/>
    </row>
    <row r="17" spans="1:1" x14ac:dyDescent="0.25">
      <c r="A17" s="53"/>
    </row>
    <row r="18" spans="1:1" x14ac:dyDescent="0.25">
      <c r="A18" s="53"/>
    </row>
    <row r="19" spans="1:1" x14ac:dyDescent="0.25">
      <c r="A19" s="5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zoomScale="60" zoomScaleNormal="60" workbookViewId="0">
      <selection activeCell="I37" sqref="I37"/>
    </sheetView>
  </sheetViews>
  <sheetFormatPr defaultColWidth="14.36328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30">
        <f>'Baseline year population inputs'!C51</f>
        <v>3.3</v>
      </c>
      <c r="C2" s="30">
        <f>'Baseline year population inputs'!C52</f>
        <v>3.3</v>
      </c>
      <c r="D2" s="30">
        <f>'Baseline year population inputs'!C53</f>
        <v>3.3</v>
      </c>
      <c r="E2" s="30">
        <f>'Baseline year population inputs'!C54</f>
        <v>3.3</v>
      </c>
      <c r="F2" s="30">
        <f>'Baseline year population inputs'!C55</f>
        <v>3.3</v>
      </c>
    </row>
    <row r="3" spans="1:6" ht="15.75" customHeight="1" x14ac:dyDescent="0.25">
      <c r="A3" s="3" t="s">
        <v>65</v>
      </c>
      <c r="B3" s="30">
        <f>frac_mam_1month * 2.6</f>
        <v>4.6879560000000001E-2</v>
      </c>
      <c r="C3" s="30">
        <f>frac_mam_1_5months * 2.6</f>
        <v>4.6879560000000001E-2</v>
      </c>
      <c r="D3" s="30">
        <f>frac_mam_6_11months * 2.6</f>
        <v>0.16647774000000001</v>
      </c>
      <c r="E3" s="30">
        <f>frac_mam_12_23months * 2.6</f>
        <v>0.15781662000000002</v>
      </c>
      <c r="F3" s="30">
        <f>frac_mam_24_59months * 2.6</f>
        <v>0.12390040000000001</v>
      </c>
    </row>
    <row r="4" spans="1:6" ht="15.75" customHeight="1" x14ac:dyDescent="0.25">
      <c r="A4" s="3" t="s">
        <v>66</v>
      </c>
      <c r="B4" s="30">
        <f>frac_sam_1month * 2.6</f>
        <v>1.334424E-2</v>
      </c>
      <c r="C4" s="30">
        <f>frac_sam_1_5months * 2.6</f>
        <v>1.334424E-2</v>
      </c>
      <c r="D4" s="30">
        <f>frac_sam_6_11months * 2.6</f>
        <v>3.6116080000000002E-2</v>
      </c>
      <c r="E4" s="30">
        <f>frac_sam_12_23months * 2.6</f>
        <v>1.6650660000000001E-2</v>
      </c>
      <c r="F4" s="30">
        <f>frac_sam_24_59months * 2.6</f>
        <v>3.7181039999999999E-2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39"/>
  <sheetViews>
    <sheetView zoomScale="60" zoomScaleNormal="60" workbookViewId="0">
      <selection activeCell="C1" sqref="C1"/>
    </sheetView>
  </sheetViews>
  <sheetFormatPr defaultColWidth="14.36328125" defaultRowHeight="15.75" customHeight="1" x14ac:dyDescent="0.25"/>
  <cols>
    <col min="1" max="1" width="20" bestFit="1" customWidth="1"/>
    <col min="2" max="2" width="45.81640625" customWidth="1"/>
    <col min="3" max="3" width="8.36328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4" t="s">
        <v>61</v>
      </c>
      <c r="C2" s="40">
        <v>0</v>
      </c>
      <c r="D2" s="40">
        <f>food_insecure</f>
        <v>0.45</v>
      </c>
      <c r="E2" s="40">
        <f>food_insecure</f>
        <v>0.45</v>
      </c>
      <c r="F2" s="40">
        <f>food_insecure</f>
        <v>0.45</v>
      </c>
      <c r="G2" s="40">
        <f>food_insecure</f>
        <v>0.45</v>
      </c>
      <c r="H2" s="41">
        <v>0</v>
      </c>
      <c r="I2" s="41">
        <v>0</v>
      </c>
      <c r="J2" s="41">
        <v>0</v>
      </c>
      <c r="K2" s="41">
        <v>0</v>
      </c>
      <c r="L2" s="41">
        <v>0</v>
      </c>
      <c r="M2" s="41">
        <v>0</v>
      </c>
      <c r="N2" s="41">
        <v>0</v>
      </c>
      <c r="O2" s="41">
        <v>0</v>
      </c>
    </row>
    <row r="3" spans="1:15" ht="15.75" customHeight="1" x14ac:dyDescent="0.25">
      <c r="B3" s="9" t="s">
        <v>150</v>
      </c>
      <c r="C3" s="40">
        <v>1</v>
      </c>
      <c r="D3" s="40">
        <v>0</v>
      </c>
      <c r="E3" s="40">
        <v>0</v>
      </c>
      <c r="F3" s="40">
        <v>0</v>
      </c>
      <c r="G3" s="40">
        <v>0</v>
      </c>
      <c r="H3" s="41">
        <v>0</v>
      </c>
      <c r="I3" s="41">
        <v>0</v>
      </c>
      <c r="J3" s="41">
        <v>0</v>
      </c>
      <c r="K3" s="41">
        <v>0</v>
      </c>
      <c r="L3" s="41">
        <v>0</v>
      </c>
      <c r="M3" s="41">
        <v>0</v>
      </c>
      <c r="N3" s="41">
        <v>0</v>
      </c>
      <c r="O3" s="41">
        <v>0</v>
      </c>
    </row>
    <row r="4" spans="1:15" ht="15.75" customHeight="1" x14ac:dyDescent="0.25">
      <c r="B4" s="9" t="s">
        <v>196</v>
      </c>
      <c r="C4" s="40">
        <v>1</v>
      </c>
      <c r="D4" s="40">
        <v>0</v>
      </c>
      <c r="E4" s="40">
        <v>0</v>
      </c>
      <c r="F4" s="40">
        <v>0</v>
      </c>
      <c r="G4" s="40">
        <v>0</v>
      </c>
      <c r="H4" s="41">
        <v>0</v>
      </c>
      <c r="I4" s="41">
        <v>0</v>
      </c>
      <c r="J4" s="41">
        <v>0</v>
      </c>
      <c r="K4" s="41">
        <v>0</v>
      </c>
      <c r="L4" s="41">
        <v>0</v>
      </c>
      <c r="M4" s="41">
        <v>0</v>
      </c>
      <c r="N4" s="41">
        <v>0</v>
      </c>
      <c r="O4" s="41">
        <v>0</v>
      </c>
    </row>
    <row r="5" spans="1:15" ht="15.75" customHeight="1" x14ac:dyDescent="0.25">
      <c r="B5" s="14" t="s">
        <v>137</v>
      </c>
      <c r="C5" s="40">
        <v>0</v>
      </c>
      <c r="D5" s="40">
        <v>0</v>
      </c>
      <c r="E5" s="40">
        <f>food_insecure</f>
        <v>0.45</v>
      </c>
      <c r="F5" s="40">
        <f>food_insecure</f>
        <v>0.45</v>
      </c>
      <c r="G5" s="40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</row>
    <row r="6" spans="1:15" ht="15.75" customHeight="1" x14ac:dyDescent="0.25">
      <c r="B6" s="14" t="s">
        <v>138</v>
      </c>
      <c r="C6" s="40">
        <v>0</v>
      </c>
      <c r="D6" s="40">
        <v>0</v>
      </c>
      <c r="E6" s="40">
        <f>1</f>
        <v>1</v>
      </c>
      <c r="F6" s="40">
        <f>1</f>
        <v>1</v>
      </c>
      <c r="G6" s="40">
        <f>1</f>
        <v>1</v>
      </c>
      <c r="H6" s="41">
        <v>0</v>
      </c>
      <c r="I6" s="41">
        <v>0</v>
      </c>
      <c r="J6" s="41">
        <v>0</v>
      </c>
      <c r="K6" s="41">
        <v>0</v>
      </c>
      <c r="L6" s="41">
        <v>0</v>
      </c>
      <c r="M6" s="41">
        <v>0</v>
      </c>
      <c r="N6" s="41">
        <v>0</v>
      </c>
      <c r="O6" s="41">
        <v>0</v>
      </c>
    </row>
    <row r="7" spans="1:15" ht="15.75" customHeight="1" x14ac:dyDescent="0.25">
      <c r="B7" s="38" t="s">
        <v>84</v>
      </c>
      <c r="C7" s="40">
        <f>diarrhoea_1mo/26</f>
        <v>0.12692307692307692</v>
      </c>
      <c r="D7" s="40">
        <f>diarrhoea_1_5mo/26</f>
        <v>0.12692307692307692</v>
      </c>
      <c r="E7" s="40">
        <f>diarrhoea_6_11mo/26</f>
        <v>0.12692307692307692</v>
      </c>
      <c r="F7" s="40">
        <f>diarrhoea_12_23mo/26</f>
        <v>0.12692307692307692</v>
      </c>
      <c r="G7" s="40">
        <f>diarrhoea_24_59mo/26</f>
        <v>0.12692307692307692</v>
      </c>
      <c r="H7" s="41">
        <v>0</v>
      </c>
      <c r="I7" s="41">
        <v>0</v>
      </c>
      <c r="J7" s="41">
        <v>0</v>
      </c>
      <c r="K7" s="41">
        <v>0</v>
      </c>
      <c r="L7" s="41">
        <v>0</v>
      </c>
      <c r="M7" s="41">
        <v>0</v>
      </c>
      <c r="N7" s="41">
        <v>0</v>
      </c>
      <c r="O7" s="41">
        <v>0</v>
      </c>
    </row>
    <row r="8" spans="1:15" ht="15.75" customHeight="1" x14ac:dyDescent="0.25">
      <c r="B8" s="14" t="s">
        <v>58</v>
      </c>
      <c r="C8" s="40">
        <v>0</v>
      </c>
      <c r="D8" s="40">
        <v>0</v>
      </c>
      <c r="E8" s="40">
        <f>food_insecure</f>
        <v>0.45</v>
      </c>
      <c r="F8" s="40">
        <f>food_insecure</f>
        <v>0.45</v>
      </c>
      <c r="G8" s="40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</row>
    <row r="9" spans="1:15" ht="15.75" customHeight="1" x14ac:dyDescent="0.25">
      <c r="B9" s="14" t="s">
        <v>67</v>
      </c>
      <c r="C9" s="40">
        <v>0</v>
      </c>
      <c r="D9" s="40">
        <f>IF(ISBLANK(comm_deliv), frac_children_health_facility,1)</f>
        <v>0.38200000000000001</v>
      </c>
      <c r="E9" s="40">
        <f>IF(ISBLANK(comm_deliv), frac_children_health_facility,1)</f>
        <v>0.38200000000000001</v>
      </c>
      <c r="F9" s="40">
        <f>IF(ISBLANK(comm_deliv), frac_children_health_facility,1)</f>
        <v>0.38200000000000001</v>
      </c>
      <c r="G9" s="40">
        <f>IF(ISBLANK(comm_deliv), frac_children_health_facility,1)</f>
        <v>0.38200000000000001</v>
      </c>
      <c r="H9" s="41">
        <v>0</v>
      </c>
      <c r="I9" s="41">
        <v>0</v>
      </c>
      <c r="J9" s="41">
        <v>0</v>
      </c>
      <c r="K9" s="41">
        <v>0</v>
      </c>
      <c r="L9" s="41">
        <v>0</v>
      </c>
      <c r="M9" s="41">
        <v>0</v>
      </c>
      <c r="N9" s="41">
        <v>0</v>
      </c>
      <c r="O9" s="41">
        <v>0</v>
      </c>
    </row>
    <row r="10" spans="1:15" ht="15" customHeight="1" x14ac:dyDescent="0.25">
      <c r="B10" s="14" t="s">
        <v>28</v>
      </c>
      <c r="C10" s="40">
        <v>0</v>
      </c>
      <c r="D10" s="40">
        <v>0</v>
      </c>
      <c r="E10" s="40">
        <v>1</v>
      </c>
      <c r="F10" s="40">
        <v>1</v>
      </c>
      <c r="G10" s="40">
        <v>1</v>
      </c>
      <c r="H10" s="41">
        <v>0</v>
      </c>
      <c r="I10" s="41">
        <v>0</v>
      </c>
      <c r="J10" s="41">
        <v>0</v>
      </c>
      <c r="K10" s="41">
        <v>0</v>
      </c>
      <c r="L10" s="41">
        <v>0</v>
      </c>
      <c r="M10" s="41">
        <v>0</v>
      </c>
      <c r="N10" s="41">
        <v>0</v>
      </c>
      <c r="O10" s="41">
        <v>0</v>
      </c>
    </row>
    <row r="11" spans="1:15" ht="15.75" customHeight="1" x14ac:dyDescent="0.25">
      <c r="B11" s="38" t="s">
        <v>85</v>
      </c>
      <c r="C11" s="40">
        <f>diarrhoea_1mo/26</f>
        <v>0.12692307692307692</v>
      </c>
      <c r="D11" s="40">
        <f>diarrhoea_1_5mo/26</f>
        <v>0.12692307692307692</v>
      </c>
      <c r="E11" s="40">
        <f>diarrhoea_6_11mo/26</f>
        <v>0.12692307692307692</v>
      </c>
      <c r="F11" s="40">
        <f>diarrhoea_12_23mo/26</f>
        <v>0.12692307692307692</v>
      </c>
      <c r="G11" s="40">
        <f>diarrhoea_24_59mo/26</f>
        <v>0.12692307692307692</v>
      </c>
      <c r="H11" s="41">
        <v>0</v>
      </c>
      <c r="I11" s="41">
        <v>0</v>
      </c>
      <c r="J11" s="41">
        <v>0</v>
      </c>
      <c r="K11" s="41">
        <v>0</v>
      </c>
      <c r="L11" s="41">
        <v>0</v>
      </c>
      <c r="M11" s="41">
        <v>0</v>
      </c>
      <c r="N11" s="41">
        <v>0</v>
      </c>
      <c r="O11" s="41">
        <v>0</v>
      </c>
    </row>
    <row r="12" spans="1:15" ht="15.75" customHeight="1" x14ac:dyDescent="0.25">
      <c r="B12" s="14" t="s">
        <v>60</v>
      </c>
      <c r="C12" s="40">
        <v>0</v>
      </c>
      <c r="D12" s="40">
        <v>0</v>
      </c>
      <c r="E12" s="40">
        <v>1</v>
      </c>
      <c r="F12" s="40">
        <v>1</v>
      </c>
      <c r="G12" s="40">
        <v>1</v>
      </c>
      <c r="H12" s="41">
        <v>0</v>
      </c>
      <c r="I12" s="41">
        <v>0</v>
      </c>
      <c r="J12" s="41">
        <v>0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</row>
    <row r="13" spans="1:15" ht="15.75" customHeight="1" x14ac:dyDescent="0.25">
      <c r="B13" s="38"/>
    </row>
    <row r="14" spans="1:15" ht="15.75" customHeight="1" x14ac:dyDescent="0.3">
      <c r="A14" s="4" t="s">
        <v>32</v>
      </c>
      <c r="B14" s="38" t="s">
        <v>29</v>
      </c>
      <c r="C14" s="41">
        <v>0</v>
      </c>
      <c r="D14" s="41">
        <v>0</v>
      </c>
      <c r="E14" s="41">
        <v>0</v>
      </c>
      <c r="F14" s="41">
        <v>0</v>
      </c>
      <c r="G14" s="41">
        <v>0</v>
      </c>
      <c r="H14" s="40">
        <f>food_insecure</f>
        <v>0.45</v>
      </c>
      <c r="I14" s="40">
        <f>food_insecure</f>
        <v>0.45</v>
      </c>
      <c r="J14" s="40">
        <f>food_insecure</f>
        <v>0.45</v>
      </c>
      <c r="K14" s="40">
        <f>food_insecure</f>
        <v>0.45</v>
      </c>
      <c r="L14" s="41">
        <v>0</v>
      </c>
      <c r="M14" s="41">
        <v>0</v>
      </c>
      <c r="N14" s="41">
        <v>0</v>
      </c>
      <c r="O14" s="41">
        <v>0</v>
      </c>
    </row>
    <row r="15" spans="1:15" ht="15.75" customHeight="1" x14ac:dyDescent="0.3">
      <c r="A15" s="4"/>
      <c r="B15" s="14" t="s">
        <v>86</v>
      </c>
      <c r="C15" s="41">
        <v>0</v>
      </c>
      <c r="D15" s="41">
        <v>0</v>
      </c>
      <c r="E15" s="41">
        <v>0</v>
      </c>
      <c r="F15" s="41">
        <v>0</v>
      </c>
      <c r="G15" s="41">
        <v>0</v>
      </c>
      <c r="H15" s="40">
        <v>1</v>
      </c>
      <c r="I15" s="40">
        <v>1</v>
      </c>
      <c r="J15" s="40">
        <v>1</v>
      </c>
      <c r="K15" s="40">
        <v>1</v>
      </c>
      <c r="L15" s="41">
        <v>0</v>
      </c>
      <c r="M15" s="41">
        <v>0</v>
      </c>
      <c r="N15" s="41">
        <v>0</v>
      </c>
      <c r="O15" s="41">
        <v>0</v>
      </c>
    </row>
    <row r="16" spans="1:15" ht="15.75" customHeight="1" x14ac:dyDescent="0.3">
      <c r="A16" s="4"/>
      <c r="B16" s="14" t="s">
        <v>186</v>
      </c>
      <c r="C16" s="41">
        <v>0</v>
      </c>
      <c r="D16" s="41">
        <v>0</v>
      </c>
      <c r="E16" s="41">
        <v>0</v>
      </c>
      <c r="F16" s="41">
        <v>0</v>
      </c>
      <c r="G16" s="41">
        <v>0</v>
      </c>
      <c r="H16" s="40">
        <f xml:space="preserve"> 1</f>
        <v>1</v>
      </c>
      <c r="I16" s="40">
        <f xml:space="preserve"> 1</f>
        <v>1</v>
      </c>
      <c r="J16" s="40">
        <f xml:space="preserve"> 1</f>
        <v>1</v>
      </c>
      <c r="K16" s="40">
        <f xml:space="preserve"> 1</f>
        <v>1</v>
      </c>
      <c r="L16" s="41">
        <v>0</v>
      </c>
      <c r="M16" s="41">
        <v>0</v>
      </c>
      <c r="N16" s="41">
        <v>0</v>
      </c>
      <c r="O16" s="41">
        <v>0</v>
      </c>
    </row>
    <row r="17" spans="1:15" ht="15.75" customHeight="1" x14ac:dyDescent="0.3">
      <c r="A17" s="4"/>
      <c r="B17" s="14" t="s">
        <v>191</v>
      </c>
      <c r="C17" s="41">
        <v>0</v>
      </c>
      <c r="D17" s="41">
        <v>0</v>
      </c>
      <c r="E17" s="41">
        <v>0</v>
      </c>
      <c r="F17" s="41">
        <v>0</v>
      </c>
      <c r="G17" s="41">
        <v>0</v>
      </c>
      <c r="H17" s="40">
        <f>frac_PW_health_facility</f>
        <v>0.50860000000000005</v>
      </c>
      <c r="I17" s="40">
        <f>frac_PW_health_facility</f>
        <v>0.50860000000000005</v>
      </c>
      <c r="J17" s="40">
        <f>frac_PW_health_facility</f>
        <v>0.50860000000000005</v>
      </c>
      <c r="K17" s="40">
        <f>frac_PW_health_facility</f>
        <v>0.50860000000000005</v>
      </c>
      <c r="L17" s="41">
        <v>0</v>
      </c>
      <c r="M17" s="41">
        <v>0</v>
      </c>
      <c r="N17" s="41">
        <v>0</v>
      </c>
      <c r="O17" s="41">
        <v>0</v>
      </c>
    </row>
    <row r="18" spans="1:15" ht="15" customHeight="1" x14ac:dyDescent="0.25">
      <c r="B18" s="38" t="s">
        <v>57</v>
      </c>
      <c r="C18" s="41">
        <v>0</v>
      </c>
      <c r="D18" s="41">
        <v>0</v>
      </c>
      <c r="E18" s="41">
        <v>0</v>
      </c>
      <c r="F18" s="41">
        <v>0</v>
      </c>
      <c r="G18" s="41">
        <v>0</v>
      </c>
      <c r="H18" s="40">
        <f>frac_malaria_risk</f>
        <v>8.3099999999999993E-2</v>
      </c>
      <c r="I18" s="40">
        <f>frac_malaria_risk</f>
        <v>8.3099999999999993E-2</v>
      </c>
      <c r="J18" s="40">
        <f>frac_malaria_risk</f>
        <v>8.3099999999999993E-2</v>
      </c>
      <c r="K18" s="40">
        <f>frac_malaria_risk</f>
        <v>8.3099999999999993E-2</v>
      </c>
      <c r="L18" s="41">
        <v>0</v>
      </c>
      <c r="M18" s="41">
        <v>0</v>
      </c>
      <c r="N18" s="41">
        <v>0</v>
      </c>
      <c r="O18" s="41">
        <v>0</v>
      </c>
    </row>
    <row r="19" spans="1:15" ht="15.75" customHeight="1" x14ac:dyDescent="0.25">
      <c r="B19" s="14" t="s">
        <v>88</v>
      </c>
      <c r="C19" s="41">
        <v>0</v>
      </c>
      <c r="D19" s="41">
        <v>0</v>
      </c>
      <c r="E19" s="41">
        <v>0</v>
      </c>
      <c r="F19" s="41">
        <v>0</v>
      </c>
      <c r="G19" s="41">
        <v>0</v>
      </c>
      <c r="H19" s="40">
        <v>1</v>
      </c>
      <c r="I19" s="40">
        <v>1</v>
      </c>
      <c r="J19" s="40">
        <v>1</v>
      </c>
      <c r="K19" s="40">
        <v>1</v>
      </c>
      <c r="L19" s="41">
        <v>0</v>
      </c>
      <c r="M19" s="41">
        <v>0</v>
      </c>
      <c r="N19" s="41">
        <v>0</v>
      </c>
      <c r="O19" s="41">
        <v>0</v>
      </c>
    </row>
    <row r="20" spans="1:15" ht="15.75" customHeight="1" x14ac:dyDescent="0.25">
      <c r="B20" s="14" t="s">
        <v>87</v>
      </c>
      <c r="C20" s="41">
        <v>0</v>
      </c>
      <c r="D20" s="41">
        <v>0</v>
      </c>
      <c r="E20" s="41">
        <v>0</v>
      </c>
      <c r="F20" s="41">
        <v>0</v>
      </c>
      <c r="G20" s="41">
        <v>0</v>
      </c>
      <c r="H20" s="40">
        <v>1</v>
      </c>
      <c r="I20" s="40">
        <v>1</v>
      </c>
      <c r="J20" s="40">
        <v>1</v>
      </c>
      <c r="K20" s="40">
        <v>1</v>
      </c>
      <c r="L20" s="41">
        <v>0</v>
      </c>
      <c r="M20" s="41">
        <v>0</v>
      </c>
      <c r="N20" s="41">
        <v>0</v>
      </c>
      <c r="O20" s="41">
        <v>0</v>
      </c>
    </row>
    <row r="21" spans="1:15" ht="15.75" customHeight="1" x14ac:dyDescent="0.25">
      <c r="B21" s="38" t="s">
        <v>59</v>
      </c>
      <c r="C21" s="41">
        <v>0</v>
      </c>
      <c r="D21" s="41">
        <v>0</v>
      </c>
      <c r="E21" s="41">
        <v>0</v>
      </c>
      <c r="F21" s="41">
        <v>0</v>
      </c>
      <c r="G21" s="41">
        <v>0</v>
      </c>
      <c r="H21" s="40">
        <f>1</f>
        <v>1</v>
      </c>
      <c r="I21" s="40">
        <f>1</f>
        <v>1</v>
      </c>
      <c r="J21" s="40">
        <f>1</f>
        <v>1</v>
      </c>
      <c r="K21" s="40">
        <f>1</f>
        <v>1</v>
      </c>
      <c r="L21" s="41">
        <v>0</v>
      </c>
      <c r="M21" s="41">
        <v>0</v>
      </c>
      <c r="N21" s="41">
        <v>0</v>
      </c>
      <c r="O21" s="41">
        <v>0</v>
      </c>
    </row>
    <row r="22" spans="1:15" ht="15.75" customHeight="1" x14ac:dyDescent="0.25">
      <c r="B22" s="38"/>
    </row>
    <row r="23" spans="1:15" ht="15.75" customHeight="1" x14ac:dyDescent="0.3">
      <c r="A23" s="69" t="s">
        <v>37</v>
      </c>
      <c r="B23" s="70" t="s">
        <v>198</v>
      </c>
      <c r="C23" s="41">
        <v>0</v>
      </c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0">
        <v>1</v>
      </c>
      <c r="M23" s="40">
        <v>1</v>
      </c>
      <c r="N23" s="40">
        <v>1</v>
      </c>
      <c r="O23" s="40">
        <v>1</v>
      </c>
    </row>
    <row r="24" spans="1:15" ht="15.75" customHeight="1" x14ac:dyDescent="0.25">
      <c r="B24" s="70" t="s">
        <v>187</v>
      </c>
      <c r="C24" s="41">
        <v>0</v>
      </c>
      <c r="D24" s="41">
        <v>0</v>
      </c>
      <c r="E24" s="41">
        <v>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40">
        <f>(1-food_insecure)*(0.49)*(1-school_attendance) + food_insecure*(0.7)*(1-school_attendance)</f>
        <v>0.1522038</v>
      </c>
      <c r="M24" s="40">
        <f>(1-food_insecure)*(0.49)+food_insecure*(0.7)</f>
        <v>0.58450000000000002</v>
      </c>
      <c r="N24" s="40">
        <f>(1-food_insecure)*(0.49)+food_insecure*(0.7)</f>
        <v>0.58450000000000002</v>
      </c>
      <c r="O24" s="40">
        <f>(1-food_insecure)*(0.49)+food_insecure*(0.7)</f>
        <v>0.58450000000000002</v>
      </c>
    </row>
    <row r="25" spans="1:15" ht="15.75" customHeight="1" x14ac:dyDescent="0.25">
      <c r="B25" s="70" t="s">
        <v>188</v>
      </c>
      <c r="C25" s="41">
        <v>0</v>
      </c>
      <c r="D25" s="41">
        <v>0</v>
      </c>
      <c r="E25" s="41">
        <v>0</v>
      </c>
      <c r="F25" s="41">
        <v>0</v>
      </c>
      <c r="G25" s="41">
        <v>0</v>
      </c>
      <c r="H25" s="41">
        <v>0</v>
      </c>
      <c r="I25" s="41">
        <v>0</v>
      </c>
      <c r="J25" s="41">
        <v>0</v>
      </c>
      <c r="K25" s="41">
        <v>0</v>
      </c>
      <c r="L25" s="40">
        <f>(1-food_insecure)*(0.21)*(1-school_attendance) + food_insecure*(0.3)*(1-school_attendance)</f>
        <v>6.5230199999999988E-2</v>
      </c>
      <c r="M25" s="40">
        <f>(1-food_insecure)*(0.21)+food_insecure*(0.3)</f>
        <v>0.2505</v>
      </c>
      <c r="N25" s="40">
        <f>(1-food_insecure)*(0.21)+food_insecure*(0.3)</f>
        <v>0.2505</v>
      </c>
      <c r="O25" s="40">
        <f>(1-food_insecure)*(0.21)+food_insecure*(0.3)</f>
        <v>0.2505</v>
      </c>
    </row>
    <row r="26" spans="1:15" ht="15.75" customHeight="1" x14ac:dyDescent="0.25">
      <c r="B26" s="70" t="s">
        <v>189</v>
      </c>
      <c r="C26" s="41">
        <v>0</v>
      </c>
      <c r="D26" s="41">
        <v>0</v>
      </c>
      <c r="E26" s="41">
        <v>0</v>
      </c>
      <c r="F26" s="41">
        <v>0</v>
      </c>
      <c r="G26" s="41">
        <v>0</v>
      </c>
      <c r="H26" s="41">
        <v>0</v>
      </c>
      <c r="I26" s="41">
        <v>0</v>
      </c>
      <c r="J26" s="41">
        <v>0</v>
      </c>
      <c r="K26" s="41">
        <v>0</v>
      </c>
      <c r="L26" s="40">
        <f>(1-food_insecure)*(0.3)*(1-school_attendance)</f>
        <v>4.2965999999999997E-2</v>
      </c>
      <c r="M26" s="40">
        <f>(1-food_insecure)*(0.3)</f>
        <v>0.16500000000000001</v>
      </c>
      <c r="N26" s="40">
        <f>(1-food_insecure)*(0.3)</f>
        <v>0.16500000000000001</v>
      </c>
      <c r="O26" s="40">
        <f>(1-food_insecure)*(0.3)</f>
        <v>0.16500000000000001</v>
      </c>
    </row>
    <row r="27" spans="1:15" ht="15.75" customHeight="1" x14ac:dyDescent="0.25">
      <c r="B27" s="70" t="s">
        <v>190</v>
      </c>
      <c r="C27" s="41">
        <v>0</v>
      </c>
      <c r="D27" s="41">
        <v>0</v>
      </c>
      <c r="E27" s="41">
        <v>0</v>
      </c>
      <c r="F27" s="41">
        <v>0</v>
      </c>
      <c r="G27" s="41">
        <v>0</v>
      </c>
      <c r="H27" s="41">
        <v>0</v>
      </c>
      <c r="I27" s="41">
        <v>0</v>
      </c>
      <c r="J27" s="41">
        <v>0</v>
      </c>
      <c r="K27" s="41">
        <v>0</v>
      </c>
      <c r="L27" s="40">
        <f>(1-food_insecure)*1*school_attendance + food_insecure*1*school_attendance</f>
        <v>0.73960000000000004</v>
      </c>
      <c r="M27" s="40">
        <v>0</v>
      </c>
      <c r="N27" s="40">
        <v>0</v>
      </c>
      <c r="O27" s="40">
        <v>0</v>
      </c>
    </row>
    <row r="28" spans="1:15" ht="15.75" customHeight="1" x14ac:dyDescent="0.2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3">
      <c r="A29" s="4" t="s">
        <v>35</v>
      </c>
      <c r="B29" s="14" t="s">
        <v>63</v>
      </c>
      <c r="C29" s="40">
        <v>0</v>
      </c>
      <c r="D29" s="40">
        <v>0</v>
      </c>
      <c r="E29" s="40">
        <f t="shared" ref="E29:O29" si="0">frac_maize</f>
        <v>0</v>
      </c>
      <c r="F29" s="40">
        <f t="shared" si="0"/>
        <v>0</v>
      </c>
      <c r="G29" s="40">
        <f t="shared" si="0"/>
        <v>0</v>
      </c>
      <c r="H29" s="40">
        <f t="shared" si="0"/>
        <v>0</v>
      </c>
      <c r="I29" s="40">
        <f t="shared" si="0"/>
        <v>0</v>
      </c>
      <c r="J29" s="40">
        <f t="shared" si="0"/>
        <v>0</v>
      </c>
      <c r="K29" s="40">
        <f t="shared" si="0"/>
        <v>0</v>
      </c>
      <c r="L29" s="40">
        <f t="shared" si="0"/>
        <v>0</v>
      </c>
      <c r="M29" s="40">
        <f t="shared" si="0"/>
        <v>0</v>
      </c>
      <c r="N29" s="40">
        <f t="shared" si="0"/>
        <v>0</v>
      </c>
      <c r="O29" s="40">
        <f t="shared" si="0"/>
        <v>0</v>
      </c>
    </row>
    <row r="30" spans="1:15" ht="15.75" customHeight="1" x14ac:dyDescent="0.25">
      <c r="B30" s="14" t="s">
        <v>64</v>
      </c>
      <c r="C30" s="40">
        <v>0</v>
      </c>
      <c r="D30" s="40">
        <v>0</v>
      </c>
      <c r="E30" s="40">
        <f t="shared" ref="E30:O30" si="1">frac_rice</f>
        <v>0</v>
      </c>
      <c r="F30" s="40">
        <f t="shared" si="1"/>
        <v>0</v>
      </c>
      <c r="G30" s="40">
        <f t="shared" si="1"/>
        <v>0</v>
      </c>
      <c r="H30" s="40">
        <f t="shared" si="1"/>
        <v>0</v>
      </c>
      <c r="I30" s="40">
        <f t="shared" si="1"/>
        <v>0</v>
      </c>
      <c r="J30" s="40">
        <f t="shared" si="1"/>
        <v>0</v>
      </c>
      <c r="K30" s="40">
        <f t="shared" si="1"/>
        <v>0</v>
      </c>
      <c r="L30" s="40">
        <f t="shared" si="1"/>
        <v>0</v>
      </c>
      <c r="M30" s="40">
        <f t="shared" si="1"/>
        <v>0</v>
      </c>
      <c r="N30" s="40">
        <f t="shared" si="1"/>
        <v>0</v>
      </c>
      <c r="O30" s="40">
        <f t="shared" si="1"/>
        <v>0</v>
      </c>
    </row>
    <row r="31" spans="1:15" ht="15.75" customHeight="1" x14ac:dyDescent="0.25">
      <c r="B31" s="14" t="s">
        <v>62</v>
      </c>
      <c r="C31" s="40">
        <v>0</v>
      </c>
      <c r="D31" s="40">
        <v>0</v>
      </c>
      <c r="E31" s="40">
        <f t="shared" ref="E31:O31" si="2">frac_wheat</f>
        <v>0</v>
      </c>
      <c r="F31" s="40">
        <f t="shared" si="2"/>
        <v>0</v>
      </c>
      <c r="G31" s="40">
        <f t="shared" si="2"/>
        <v>0</v>
      </c>
      <c r="H31" s="40">
        <f t="shared" si="2"/>
        <v>0</v>
      </c>
      <c r="I31" s="40">
        <f t="shared" si="2"/>
        <v>0</v>
      </c>
      <c r="J31" s="40">
        <f t="shared" si="2"/>
        <v>0</v>
      </c>
      <c r="K31" s="40">
        <f t="shared" si="2"/>
        <v>0</v>
      </c>
      <c r="L31" s="40">
        <f t="shared" si="2"/>
        <v>0</v>
      </c>
      <c r="M31" s="40">
        <f t="shared" si="2"/>
        <v>0</v>
      </c>
      <c r="N31" s="40">
        <f t="shared" si="2"/>
        <v>0</v>
      </c>
      <c r="O31" s="40">
        <f t="shared" si="2"/>
        <v>0</v>
      </c>
    </row>
    <row r="32" spans="1:15" ht="15.75" customHeight="1" x14ac:dyDescent="0.25">
      <c r="B32" s="14" t="s">
        <v>47</v>
      </c>
      <c r="C32" s="40">
        <v>0</v>
      </c>
      <c r="D32" s="40">
        <v>0</v>
      </c>
      <c r="E32" s="40">
        <v>1</v>
      </c>
      <c r="F32" s="40">
        <v>1</v>
      </c>
      <c r="G32" s="40">
        <v>1</v>
      </c>
      <c r="H32" s="40">
        <v>1</v>
      </c>
      <c r="I32" s="40">
        <v>1</v>
      </c>
      <c r="J32" s="40">
        <v>1</v>
      </c>
      <c r="K32" s="40">
        <v>1</v>
      </c>
      <c r="L32" s="40">
        <v>1</v>
      </c>
      <c r="M32" s="40">
        <v>1</v>
      </c>
      <c r="N32" s="40">
        <v>1</v>
      </c>
      <c r="O32" s="40">
        <v>1</v>
      </c>
    </row>
    <row r="33" spans="1:15" ht="15.75" customHeight="1" x14ac:dyDescent="0.25">
      <c r="B33" s="14" t="s">
        <v>34</v>
      </c>
      <c r="C33" s="40">
        <f t="shared" ref="C33:O33" si="3">frac_malaria_risk</f>
        <v>8.3099999999999993E-2</v>
      </c>
      <c r="D33" s="40">
        <f t="shared" si="3"/>
        <v>8.3099999999999993E-2</v>
      </c>
      <c r="E33" s="40">
        <f t="shared" si="3"/>
        <v>8.3099999999999993E-2</v>
      </c>
      <c r="F33" s="40">
        <f t="shared" si="3"/>
        <v>8.3099999999999993E-2</v>
      </c>
      <c r="G33" s="40">
        <f t="shared" si="3"/>
        <v>8.3099999999999993E-2</v>
      </c>
      <c r="H33" s="40">
        <f t="shared" si="3"/>
        <v>8.3099999999999993E-2</v>
      </c>
      <c r="I33" s="40">
        <f t="shared" si="3"/>
        <v>8.3099999999999993E-2</v>
      </c>
      <c r="J33" s="40">
        <f t="shared" si="3"/>
        <v>8.3099999999999993E-2</v>
      </c>
      <c r="K33" s="40">
        <f t="shared" si="3"/>
        <v>8.3099999999999993E-2</v>
      </c>
      <c r="L33" s="40">
        <f t="shared" si="3"/>
        <v>8.3099999999999993E-2</v>
      </c>
      <c r="M33" s="40">
        <f t="shared" si="3"/>
        <v>8.3099999999999993E-2</v>
      </c>
      <c r="N33" s="40">
        <f t="shared" si="3"/>
        <v>8.3099999999999993E-2</v>
      </c>
      <c r="O33" s="40">
        <f t="shared" si="3"/>
        <v>8.3099999999999993E-2</v>
      </c>
    </row>
    <row r="34" spans="1:15" ht="15.75" customHeight="1" x14ac:dyDescent="0.25">
      <c r="B34" s="38" t="s">
        <v>83</v>
      </c>
      <c r="C34" s="40">
        <v>1</v>
      </c>
      <c r="D34" s="40">
        <v>1</v>
      </c>
      <c r="E34" s="40">
        <v>1</v>
      </c>
      <c r="F34" s="40">
        <v>1</v>
      </c>
      <c r="G34" s="40">
        <v>1</v>
      </c>
      <c r="H34" s="40">
        <v>1</v>
      </c>
      <c r="I34" s="40">
        <v>1</v>
      </c>
      <c r="J34" s="40">
        <v>1</v>
      </c>
      <c r="K34" s="40">
        <v>1</v>
      </c>
      <c r="L34" s="40">
        <v>1</v>
      </c>
      <c r="M34" s="40">
        <v>1</v>
      </c>
      <c r="N34" s="40">
        <v>1</v>
      </c>
      <c r="O34" s="40">
        <v>1</v>
      </c>
    </row>
    <row r="35" spans="1:15" ht="15.75" customHeight="1" x14ac:dyDescent="0.25">
      <c r="A35" s="5"/>
      <c r="B35" s="38" t="s">
        <v>82</v>
      </c>
      <c r="C35" s="40">
        <v>1</v>
      </c>
      <c r="D35" s="40">
        <v>1</v>
      </c>
      <c r="E35" s="40">
        <v>1</v>
      </c>
      <c r="F35" s="40">
        <v>1</v>
      </c>
      <c r="G35" s="40">
        <v>1</v>
      </c>
      <c r="H35" s="40">
        <v>1</v>
      </c>
      <c r="I35" s="40">
        <v>1</v>
      </c>
      <c r="J35" s="40">
        <v>1</v>
      </c>
      <c r="K35" s="40">
        <v>1</v>
      </c>
      <c r="L35" s="40">
        <v>1</v>
      </c>
      <c r="M35" s="40">
        <v>1</v>
      </c>
      <c r="N35" s="40">
        <v>1</v>
      </c>
      <c r="O35" s="40">
        <v>1</v>
      </c>
    </row>
    <row r="36" spans="1:15" s="5" customFormat="1" ht="15.75" customHeight="1" x14ac:dyDescent="0.25">
      <c r="B36" s="38" t="s">
        <v>81</v>
      </c>
      <c r="C36" s="40">
        <v>1</v>
      </c>
      <c r="D36" s="40">
        <v>1</v>
      </c>
      <c r="E36" s="40">
        <v>1</v>
      </c>
      <c r="F36" s="40">
        <v>1</v>
      </c>
      <c r="G36" s="40">
        <v>1</v>
      </c>
      <c r="H36" s="40">
        <v>1</v>
      </c>
      <c r="I36" s="40">
        <v>1</v>
      </c>
      <c r="J36" s="40">
        <v>1</v>
      </c>
      <c r="K36" s="40">
        <v>1</v>
      </c>
      <c r="L36" s="40">
        <v>1</v>
      </c>
      <c r="M36" s="40">
        <v>1</v>
      </c>
      <c r="N36" s="40">
        <v>1</v>
      </c>
      <c r="O36" s="40">
        <v>1</v>
      </c>
    </row>
    <row r="37" spans="1:15" s="5" customFormat="1" ht="15.75" customHeight="1" x14ac:dyDescent="0.25">
      <c r="B37" s="38" t="s">
        <v>79</v>
      </c>
      <c r="C37" s="40">
        <v>1</v>
      </c>
      <c r="D37" s="40">
        <v>1</v>
      </c>
      <c r="E37" s="40">
        <v>1</v>
      </c>
      <c r="F37" s="40">
        <v>1</v>
      </c>
      <c r="G37" s="40">
        <v>1</v>
      </c>
      <c r="H37" s="40">
        <v>1</v>
      </c>
      <c r="I37" s="40">
        <v>1</v>
      </c>
      <c r="J37" s="40">
        <v>1</v>
      </c>
      <c r="K37" s="40">
        <v>1</v>
      </c>
      <c r="L37" s="40">
        <v>1</v>
      </c>
      <c r="M37" s="40">
        <v>1</v>
      </c>
      <c r="N37" s="40">
        <v>1</v>
      </c>
      <c r="O37" s="40">
        <v>1</v>
      </c>
    </row>
    <row r="38" spans="1:15" s="5" customFormat="1" ht="15.75" customHeight="1" x14ac:dyDescent="0.25">
      <c r="B38" s="38" t="s">
        <v>80</v>
      </c>
      <c r="C38" s="40">
        <v>1</v>
      </c>
      <c r="D38" s="40">
        <v>1</v>
      </c>
      <c r="E38" s="40">
        <v>1</v>
      </c>
      <c r="F38" s="40">
        <v>1</v>
      </c>
      <c r="G38" s="40">
        <v>1</v>
      </c>
      <c r="H38" s="40">
        <v>1</v>
      </c>
      <c r="I38" s="40">
        <v>1</v>
      </c>
      <c r="J38" s="40">
        <v>1</v>
      </c>
      <c r="K38" s="40">
        <v>1</v>
      </c>
      <c r="L38" s="40">
        <v>1</v>
      </c>
      <c r="M38" s="40">
        <v>1</v>
      </c>
      <c r="N38" s="40">
        <v>1</v>
      </c>
      <c r="O38" s="40">
        <v>1</v>
      </c>
    </row>
    <row r="39" spans="1:15" ht="15.75" customHeight="1" x14ac:dyDescent="0.25">
      <c r="B39" s="38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E2" sqref="E2:E10"/>
    </sheetView>
  </sheetViews>
  <sheetFormatPr defaultColWidth="11.36328125" defaultRowHeight="12.5" x14ac:dyDescent="0.25"/>
  <cols>
    <col min="1" max="1" width="33.54296875" style="42" customWidth="1"/>
    <col min="2" max="2" width="12.36328125" style="42" customWidth="1"/>
    <col min="3" max="4" width="11.36328125" style="42"/>
    <col min="5" max="5" width="17.36328125" style="42" customWidth="1"/>
    <col min="6" max="16384" width="11.36328125" style="42"/>
  </cols>
  <sheetData>
    <row r="1" spans="1:5" ht="13" x14ac:dyDescent="0.3">
      <c r="A1" s="47" t="s">
        <v>164</v>
      </c>
      <c r="B1" s="47" t="s">
        <v>163</v>
      </c>
      <c r="C1" s="47" t="s">
        <v>162</v>
      </c>
      <c r="D1" s="47" t="s">
        <v>161</v>
      </c>
      <c r="E1" s="47" t="s">
        <v>160</v>
      </c>
    </row>
    <row r="2" spans="1:5" ht="14" x14ac:dyDescent="0.3">
      <c r="A2" s="46" t="s">
        <v>159</v>
      </c>
      <c r="B2" s="45">
        <v>0.9</v>
      </c>
      <c r="C2" s="44">
        <v>0.09</v>
      </c>
      <c r="D2" s="42">
        <v>0.8</v>
      </c>
      <c r="E2" s="42">
        <f t="shared" ref="E2:E10" si="0">C2*D2</f>
        <v>7.1999999999999995E-2</v>
      </c>
    </row>
    <row r="3" spans="1:5" ht="14" x14ac:dyDescent="0.3">
      <c r="A3" s="46" t="s">
        <v>158</v>
      </c>
      <c r="B3" s="45">
        <v>1</v>
      </c>
      <c r="C3" s="44">
        <v>0.02</v>
      </c>
      <c r="D3" s="42">
        <v>1.9</v>
      </c>
      <c r="E3" s="42">
        <f t="shared" si="0"/>
        <v>3.7999999999999999E-2</v>
      </c>
    </row>
    <row r="4" spans="1:5" ht="14" x14ac:dyDescent="0.3">
      <c r="A4" s="46" t="s">
        <v>157</v>
      </c>
      <c r="B4" s="45">
        <v>1</v>
      </c>
      <c r="C4" s="44">
        <v>0.08</v>
      </c>
      <c r="D4" s="42">
        <v>2</v>
      </c>
      <c r="E4" s="42">
        <f t="shared" si="0"/>
        <v>0.16</v>
      </c>
    </row>
    <row r="5" spans="1:5" ht="14" x14ac:dyDescent="0.3">
      <c r="A5" s="46" t="s">
        <v>156</v>
      </c>
      <c r="B5" s="45">
        <v>1</v>
      </c>
      <c r="C5" s="44">
        <v>0.18</v>
      </c>
      <c r="D5" s="42">
        <v>0.7</v>
      </c>
      <c r="E5" s="42">
        <f t="shared" si="0"/>
        <v>0.126</v>
      </c>
    </row>
    <row r="6" spans="1:5" ht="14" x14ac:dyDescent="0.3">
      <c r="A6" s="46" t="s">
        <v>155</v>
      </c>
      <c r="B6" s="45">
        <v>1</v>
      </c>
      <c r="C6" s="44">
        <v>0.02</v>
      </c>
      <c r="D6" s="42">
        <v>0.7</v>
      </c>
      <c r="E6" s="42">
        <f t="shared" si="0"/>
        <v>1.3999999999999999E-2</v>
      </c>
    </row>
    <row r="7" spans="1:5" ht="14" x14ac:dyDescent="0.3">
      <c r="A7" s="46" t="s">
        <v>154</v>
      </c>
      <c r="B7" s="45">
        <v>0.93</v>
      </c>
      <c r="C7" s="44">
        <v>0.45</v>
      </c>
      <c r="D7" s="42">
        <v>0.9</v>
      </c>
      <c r="E7" s="42">
        <f t="shared" si="0"/>
        <v>0.40500000000000003</v>
      </c>
    </row>
    <row r="8" spans="1:5" ht="14" x14ac:dyDescent="0.3">
      <c r="A8" s="46" t="s">
        <v>153</v>
      </c>
      <c r="B8" s="45">
        <v>0.5</v>
      </c>
      <c r="C8" s="44">
        <v>0.03</v>
      </c>
      <c r="D8" s="42">
        <v>0</v>
      </c>
      <c r="E8" s="42">
        <f t="shared" si="0"/>
        <v>0</v>
      </c>
    </row>
    <row r="9" spans="1:5" ht="14" x14ac:dyDescent="0.3">
      <c r="A9" s="46" t="s">
        <v>152</v>
      </c>
      <c r="B9" s="45">
        <v>0.5</v>
      </c>
      <c r="C9" s="44">
        <v>0.11</v>
      </c>
      <c r="D9" s="42">
        <v>0</v>
      </c>
      <c r="E9" s="42">
        <f t="shared" si="0"/>
        <v>0</v>
      </c>
    </row>
    <row r="10" spans="1:5" ht="14" x14ac:dyDescent="0.3">
      <c r="A10" s="46" t="s">
        <v>151</v>
      </c>
      <c r="B10" s="45">
        <v>0.98</v>
      </c>
      <c r="C10" s="44">
        <v>0.01</v>
      </c>
      <c r="D10" s="42">
        <v>0.6</v>
      </c>
      <c r="E10" s="42">
        <f t="shared" si="0"/>
        <v>6.0000000000000001E-3</v>
      </c>
    </row>
    <row r="11" spans="1:5" x14ac:dyDescent="0.25">
      <c r="C11" s="43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J40"/>
  <sheetViews>
    <sheetView zoomScaleNormal="100" workbookViewId="0">
      <selection activeCell="B16" sqref="B16:B17"/>
    </sheetView>
  </sheetViews>
  <sheetFormatPr defaultColWidth="14.36328125" defaultRowHeight="15.75" customHeight="1" x14ac:dyDescent="0.25"/>
  <cols>
    <col min="1" max="1" width="8.36328125" style="15" customWidth="1"/>
    <col min="2" max="10" width="16.81640625" style="15" customWidth="1"/>
    <col min="11" max="16384" width="14.36328125" style="15"/>
  </cols>
  <sheetData>
    <row r="1" spans="1:10" s="23" customFormat="1" ht="30" customHeight="1" x14ac:dyDescent="0.3">
      <c r="A1" s="35" t="s">
        <v>0</v>
      </c>
      <c r="B1" s="29" t="s">
        <v>112</v>
      </c>
      <c r="C1" s="26" t="s">
        <v>113</v>
      </c>
      <c r="D1" s="26" t="s">
        <v>49</v>
      </c>
      <c r="E1" s="26" t="s">
        <v>50</v>
      </c>
      <c r="F1" s="26" t="s">
        <v>51</v>
      </c>
      <c r="G1" s="26" t="s">
        <v>52</v>
      </c>
      <c r="H1" s="26" t="s">
        <v>114</v>
      </c>
      <c r="I1" s="26" t="s">
        <v>131</v>
      </c>
      <c r="J1" s="26" t="s">
        <v>36</v>
      </c>
    </row>
    <row r="2" spans="1:10" ht="15.75" customHeight="1" x14ac:dyDescent="0.25">
      <c r="A2" s="9">
        <v>2015</v>
      </c>
      <c r="B2" s="80">
        <v>227286</v>
      </c>
      <c r="C2" s="81">
        <v>1064000</v>
      </c>
      <c r="D2" s="81">
        <v>279000</v>
      </c>
      <c r="E2" s="81">
        <v>440000</v>
      </c>
      <c r="F2" s="81">
        <v>309000</v>
      </c>
      <c r="G2" s="81">
        <v>183000</v>
      </c>
      <c r="H2" s="25">
        <f t="shared" ref="H2:H40" si="0">D2+E2+F2+G2</f>
        <v>1211000</v>
      </c>
      <c r="I2" s="25">
        <f>(B2 + stillbirth*B2/(1000-stillbirth))/(1-abortion)</f>
        <v>268572.24087061052</v>
      </c>
      <c r="J2" s="25">
        <f>H2-I2</f>
        <v>942427.75912938942</v>
      </c>
    </row>
    <row r="3" spans="1:10" ht="15.75" customHeight="1" x14ac:dyDescent="0.25">
      <c r="A3" s="9">
        <v>2016</v>
      </c>
      <c r="B3" s="80">
        <v>233302.96714340401</v>
      </c>
      <c r="C3" s="81">
        <v>1090713.6045429707</v>
      </c>
      <c r="D3" s="81">
        <v>289774.24118877231</v>
      </c>
      <c r="E3" s="81">
        <v>454389.04338446719</v>
      </c>
      <c r="F3" s="81">
        <v>319496.95100329246</v>
      </c>
      <c r="G3" s="81">
        <v>188721.12470464341</v>
      </c>
      <c r="H3" s="25">
        <f t="shared" si="0"/>
        <v>1252381.3602811752</v>
      </c>
      <c r="I3" s="25">
        <f t="shared" ref="I3:I40" si="1">(B3 + stillbirth*B3/(1000-stillbirth))/(1-abortion)</f>
        <v>275682.18318535428</v>
      </c>
      <c r="J3" s="25">
        <f t="shared" ref="J3:J15" si="2">H3-I3</f>
        <v>976699.17709582089</v>
      </c>
    </row>
    <row r="4" spans="1:10" ht="15.75" customHeight="1" x14ac:dyDescent="0.25">
      <c r="A4" s="9">
        <v>2017</v>
      </c>
      <c r="B4" s="80">
        <v>239479.22211625992</v>
      </c>
      <c r="C4" s="81">
        <v>1118097.9014427818</v>
      </c>
      <c r="D4" s="81">
        <v>300964.55504132179</v>
      </c>
      <c r="E4" s="81">
        <v>469248.64260875277</v>
      </c>
      <c r="F4" s="81">
        <v>330350.49093980668</v>
      </c>
      <c r="G4" s="81">
        <v>194621.10879664245</v>
      </c>
      <c r="H4" s="25">
        <f t="shared" si="0"/>
        <v>1295184.7973865236</v>
      </c>
      <c r="I4" s="25">
        <f t="shared" si="1"/>
        <v>282980.34778083378</v>
      </c>
      <c r="J4" s="25">
        <f t="shared" si="2"/>
        <v>1012204.4496056898</v>
      </c>
    </row>
    <row r="5" spans="1:10" ht="15.75" customHeight="1" x14ac:dyDescent="0.25">
      <c r="A5" s="9">
        <v>2018</v>
      </c>
      <c r="B5" s="80">
        <v>245818.9817627031</v>
      </c>
      <c r="C5" s="81">
        <v>1146169.7296189733</v>
      </c>
      <c r="D5" s="81">
        <v>312587.00918213447</v>
      </c>
      <c r="E5" s="81">
        <v>484594.18596466113</v>
      </c>
      <c r="F5" s="81">
        <v>341572.73339064408</v>
      </c>
      <c r="G5" s="81">
        <v>200705.54395282586</v>
      </c>
      <c r="H5" s="25">
        <f t="shared" si="0"/>
        <v>1339459.4724902655</v>
      </c>
      <c r="I5" s="25">
        <f t="shared" si="1"/>
        <v>290471.71748607885</v>
      </c>
      <c r="J5" s="25">
        <f t="shared" si="2"/>
        <v>1048987.7550041866</v>
      </c>
    </row>
    <row r="6" spans="1:10" ht="15.75" customHeight="1" x14ac:dyDescent="0.25">
      <c r="A6" s="9">
        <v>2019</v>
      </c>
      <c r="B6" s="80">
        <v>251978.26691936981</v>
      </c>
      <c r="C6" s="81">
        <v>1174567.087571488</v>
      </c>
      <c r="D6" s="81">
        <v>324735.21729421616</v>
      </c>
      <c r="E6" s="81">
        <v>500706.62617841613</v>
      </c>
      <c r="F6" s="81">
        <v>353256.50943417574</v>
      </c>
      <c r="G6" s="81">
        <v>207305.42561875458</v>
      </c>
      <c r="H6" s="25">
        <f t="shared" si="0"/>
        <v>1386003.7785255625</v>
      </c>
      <c r="I6" s="25">
        <f t="shared" si="1"/>
        <v>297749.82971774758</v>
      </c>
      <c r="J6" s="25">
        <f t="shared" si="2"/>
        <v>1088253.9488078149</v>
      </c>
    </row>
    <row r="7" spans="1:10" ht="15.75" customHeight="1" x14ac:dyDescent="0.25">
      <c r="A7" s="9">
        <v>2020</v>
      </c>
      <c r="B7" s="80">
        <v>258027.39792530442</v>
      </c>
      <c r="C7" s="81">
        <v>1203450.068157021</v>
      </c>
      <c r="D7" s="81">
        <v>337372.44011735596</v>
      </c>
      <c r="E7" s="81">
        <v>517736.01952494739</v>
      </c>
      <c r="F7" s="81">
        <v>365332.35699222767</v>
      </c>
      <c r="G7" s="81">
        <v>214953.25861952099</v>
      </c>
      <c r="H7" s="25">
        <f t="shared" si="0"/>
        <v>1435394.0752540522</v>
      </c>
      <c r="I7" s="25">
        <f t="shared" si="1"/>
        <v>304897.77842371166</v>
      </c>
      <c r="J7" s="25">
        <f t="shared" si="2"/>
        <v>1130496.2968303405</v>
      </c>
    </row>
    <row r="8" spans="1:10" ht="15.75" customHeight="1" x14ac:dyDescent="0.25">
      <c r="A8" s="9">
        <v>2021</v>
      </c>
      <c r="B8" s="80">
        <v>264555.32559555047</v>
      </c>
      <c r="C8" s="81">
        <v>1232404.6591858445</v>
      </c>
      <c r="D8" s="81">
        <v>350427.1479720471</v>
      </c>
      <c r="E8" s="81">
        <v>535780.43427842169</v>
      </c>
      <c r="F8" s="81">
        <v>377771.75769003236</v>
      </c>
      <c r="G8" s="81">
        <v>222272.11909009633</v>
      </c>
      <c r="H8" s="25">
        <f t="shared" si="0"/>
        <v>1486251.4590305975</v>
      </c>
      <c r="I8" s="25">
        <f t="shared" si="1"/>
        <v>312611.49665817944</v>
      </c>
      <c r="J8" s="25">
        <f t="shared" si="2"/>
        <v>1173639.962372418</v>
      </c>
    </row>
    <row r="9" spans="1:10" ht="15.75" customHeight="1" x14ac:dyDescent="0.25">
      <c r="A9" s="9">
        <v>2022</v>
      </c>
      <c r="B9" s="80">
        <v>271003.51374023384</v>
      </c>
      <c r="C9" s="81">
        <v>1263522.755920863</v>
      </c>
      <c r="D9" s="81">
        <v>363862.16852231987</v>
      </c>
      <c r="E9" s="81">
        <v>554841.1996774947</v>
      </c>
      <c r="F9" s="81">
        <v>390565.57965955406</v>
      </c>
      <c r="G9" s="81">
        <v>229919.49806726037</v>
      </c>
      <c r="H9" s="25">
        <f t="shared" si="0"/>
        <v>1539188.445926629</v>
      </c>
      <c r="I9" s="25">
        <f t="shared" si="1"/>
        <v>320230.99077384389</v>
      </c>
      <c r="J9" s="25">
        <f t="shared" si="2"/>
        <v>1218957.4551527852</v>
      </c>
    </row>
    <row r="10" spans="1:10" ht="15.75" customHeight="1" x14ac:dyDescent="0.25">
      <c r="A10" s="9">
        <v>2023</v>
      </c>
      <c r="B10" s="80">
        <v>277583.35478961078</v>
      </c>
      <c r="C10" s="81">
        <v>1294649.784875354</v>
      </c>
      <c r="D10" s="81">
        <v>377576.88383352995</v>
      </c>
      <c r="E10" s="81">
        <v>575012.32243377343</v>
      </c>
      <c r="F10" s="81">
        <v>403670.40910193411</v>
      </c>
      <c r="G10" s="81">
        <v>237908.43251445319</v>
      </c>
      <c r="H10" s="25">
        <f t="shared" si="0"/>
        <v>1594168.0478836908</v>
      </c>
      <c r="I10" s="25">
        <f t="shared" si="1"/>
        <v>328006.05239314114</v>
      </c>
      <c r="J10" s="25">
        <f t="shared" si="2"/>
        <v>1266161.9954905496</v>
      </c>
    </row>
    <row r="11" spans="1:10" ht="15.75" customHeight="1" x14ac:dyDescent="0.25">
      <c r="A11" s="9">
        <v>2024</v>
      </c>
      <c r="B11" s="80">
        <v>284708.71773298539</v>
      </c>
      <c r="C11" s="81">
        <v>1326719.6592185854</v>
      </c>
      <c r="D11" s="81">
        <v>391467.50008213473</v>
      </c>
      <c r="E11" s="81">
        <v>596395.5631510244</v>
      </c>
      <c r="F11" s="81">
        <v>417085.94661166309</v>
      </c>
      <c r="G11" s="81">
        <v>246238.79271064556</v>
      </c>
      <c r="H11" s="25">
        <f t="shared" si="0"/>
        <v>1651187.8025554679</v>
      </c>
      <c r="I11" s="25">
        <f t="shared" si="1"/>
        <v>336425.72933196952</v>
      </c>
      <c r="J11" s="25">
        <f t="shared" si="2"/>
        <v>1314762.0732234984</v>
      </c>
    </row>
    <row r="12" spans="1:10" ht="15.75" customHeight="1" x14ac:dyDescent="0.25">
      <c r="A12" s="9">
        <v>2025</v>
      </c>
      <c r="B12" s="80">
        <v>292104.21719352744</v>
      </c>
      <c r="C12" s="81">
        <v>1360092.5687921825</v>
      </c>
      <c r="D12" s="81">
        <v>405470.93256592524</v>
      </c>
      <c r="E12" s="81">
        <v>619047.34062552999</v>
      </c>
      <c r="F12" s="81">
        <v>430894.75325794989</v>
      </c>
      <c r="G12" s="81">
        <v>254875.03509382156</v>
      </c>
      <c r="H12" s="25">
        <f t="shared" si="0"/>
        <v>1710288.0615432267</v>
      </c>
      <c r="I12" s="25">
        <f t="shared" si="1"/>
        <v>345164.61277606705</v>
      </c>
      <c r="J12" s="25">
        <f t="shared" si="2"/>
        <v>1365123.4487671596</v>
      </c>
    </row>
    <row r="13" spans="1:10" ht="15.75" customHeight="1" x14ac:dyDescent="0.25">
      <c r="A13" s="9">
        <v>2026</v>
      </c>
      <c r="B13" s="80">
        <v>299302.34515030996</v>
      </c>
      <c r="C13" s="81">
        <v>1393981.7148450236</v>
      </c>
      <c r="D13" s="81">
        <v>419471.983133042</v>
      </c>
      <c r="E13" s="81">
        <v>642838.86640085466</v>
      </c>
      <c r="F13" s="81">
        <v>445118.31138609175</v>
      </c>
      <c r="G13" s="81">
        <v>263789.59394526447</v>
      </c>
      <c r="H13" s="25">
        <f t="shared" si="0"/>
        <v>1771218.7548652529</v>
      </c>
      <c r="I13" s="25">
        <f t="shared" si="1"/>
        <v>353670.27240942098</v>
      </c>
      <c r="J13" s="25">
        <f t="shared" si="2"/>
        <v>1417548.482455832</v>
      </c>
    </row>
    <row r="14" spans="1:10" ht="15.75" customHeight="1" x14ac:dyDescent="0.25">
      <c r="A14" s="9">
        <v>2027</v>
      </c>
      <c r="B14" s="80">
        <v>307383.00055231818</v>
      </c>
      <c r="C14" s="81">
        <v>1429467.8195894978</v>
      </c>
      <c r="D14" s="81">
        <v>433426.98331113218</v>
      </c>
      <c r="E14" s="81">
        <v>667657.59827080101</v>
      </c>
      <c r="F14" s="81">
        <v>459860.29015370813</v>
      </c>
      <c r="G14" s="81">
        <v>273027.09329903807</v>
      </c>
      <c r="H14" s="25">
        <f t="shared" si="0"/>
        <v>1833971.9650346793</v>
      </c>
      <c r="I14" s="25">
        <f t="shared" si="1"/>
        <v>363218.76958487637</v>
      </c>
      <c r="J14" s="25">
        <f t="shared" si="2"/>
        <v>1470753.195449803</v>
      </c>
    </row>
    <row r="15" spans="1:10" ht="15.75" customHeight="1" x14ac:dyDescent="0.25">
      <c r="A15" s="9">
        <v>2028</v>
      </c>
      <c r="B15" s="80">
        <v>314900.58992666123</v>
      </c>
      <c r="C15" s="81">
        <v>1465863.4838450209</v>
      </c>
      <c r="D15" s="81">
        <v>447298.76076422603</v>
      </c>
      <c r="E15" s="81">
        <v>693330.66136351367</v>
      </c>
      <c r="F15" s="81">
        <v>475237.83196634019</v>
      </c>
      <c r="G15" s="81">
        <v>282612.82875584706</v>
      </c>
      <c r="H15" s="25">
        <f t="shared" si="0"/>
        <v>1898480.0828499272</v>
      </c>
      <c r="I15" s="25">
        <f t="shared" si="1"/>
        <v>372101.92043540126</v>
      </c>
      <c r="J15" s="25">
        <f t="shared" si="2"/>
        <v>1526378.1624145261</v>
      </c>
    </row>
    <row r="16" spans="1:10" ht="15.75" customHeight="1" x14ac:dyDescent="0.25">
      <c r="A16" s="9">
        <v>2029</v>
      </c>
      <c r="B16" s="155">
        <v>322807.60154667334</v>
      </c>
      <c r="C16" s="24">
        <v>1503066.5596658324</v>
      </c>
      <c r="D16" s="24">
        <v>461042.99740633246</v>
      </c>
      <c r="E16" s="24">
        <v>719716.41791555018</v>
      </c>
      <c r="F16" s="24">
        <v>491377.21109756478</v>
      </c>
      <c r="G16" s="24">
        <v>292563.1451653777</v>
      </c>
      <c r="H16" s="25">
        <f t="shared" si="0"/>
        <v>1964699.7715848251</v>
      </c>
      <c r="I16" s="25">
        <f t="shared" si="1"/>
        <v>381445.23163528426</v>
      </c>
      <c r="J16" s="25">
        <f t="shared" ref="J16:J40" si="3">H16-I16</f>
        <v>1583254.539949541</v>
      </c>
    </row>
    <row r="17" spans="1:10" ht="15.75" customHeight="1" x14ac:dyDescent="0.25">
      <c r="A17" s="9">
        <v>2030</v>
      </c>
      <c r="B17" s="155">
        <v>334016.93681865936</v>
      </c>
      <c r="C17" s="24">
        <v>1544140.8746746799</v>
      </c>
      <c r="D17" s="24">
        <v>474473.75937830965</v>
      </c>
      <c r="E17" s="24">
        <v>746720.34428915952</v>
      </c>
      <c r="F17" s="24">
        <v>508433.66930399043</v>
      </c>
      <c r="G17" s="24">
        <v>302850.34708788397</v>
      </c>
      <c r="H17" s="25">
        <f t="shared" si="0"/>
        <v>2032478.1200593435</v>
      </c>
      <c r="I17" s="25">
        <f t="shared" si="1"/>
        <v>394690.72978592821</v>
      </c>
      <c r="J17" s="25">
        <f t="shared" si="3"/>
        <v>1637787.3902734153</v>
      </c>
    </row>
    <row r="18" spans="1:10" ht="15.75" customHeight="1" x14ac:dyDescent="0.25">
      <c r="A18" s="9" t="str">
        <f t="shared" ref="A3:A40" si="4">IF($A$2+ROW(A18)-2&lt;=end_year,A17+1,"")</f>
        <v/>
      </c>
      <c r="B18" s="8"/>
      <c r="C18" s="24"/>
      <c r="D18" s="24"/>
      <c r="E18" s="24"/>
      <c r="F18" s="24"/>
      <c r="G18" s="24"/>
      <c r="H18" s="25">
        <f t="shared" si="0"/>
        <v>0</v>
      </c>
      <c r="I18" s="25">
        <f t="shared" si="1"/>
        <v>0</v>
      </c>
      <c r="J18" s="25">
        <f t="shared" si="3"/>
        <v>0</v>
      </c>
    </row>
    <row r="19" spans="1:10" ht="15.75" customHeight="1" x14ac:dyDescent="0.25">
      <c r="A19" s="9" t="str">
        <f t="shared" si="4"/>
        <v/>
      </c>
      <c r="B19" s="8"/>
      <c r="C19" s="24"/>
      <c r="D19" s="24"/>
      <c r="E19" s="24"/>
      <c r="F19" s="24"/>
      <c r="G19" s="24"/>
      <c r="H19" s="25">
        <f t="shared" si="0"/>
        <v>0</v>
      </c>
      <c r="I19" s="25">
        <f t="shared" si="1"/>
        <v>0</v>
      </c>
      <c r="J19" s="25">
        <f t="shared" si="3"/>
        <v>0</v>
      </c>
    </row>
    <row r="20" spans="1:10" ht="15.75" customHeight="1" x14ac:dyDescent="0.25">
      <c r="A20" s="9" t="str">
        <f t="shared" si="4"/>
        <v/>
      </c>
      <c r="B20" s="8"/>
      <c r="C20" s="24"/>
      <c r="D20" s="24"/>
      <c r="E20" s="24"/>
      <c r="F20" s="24"/>
      <c r="G20" s="24"/>
      <c r="H20" s="25">
        <f t="shared" si="0"/>
        <v>0</v>
      </c>
      <c r="I20" s="25">
        <f t="shared" si="1"/>
        <v>0</v>
      </c>
      <c r="J20" s="25">
        <f t="shared" si="3"/>
        <v>0</v>
      </c>
    </row>
    <row r="21" spans="1:10" ht="15.75" customHeight="1" x14ac:dyDescent="0.25">
      <c r="A21" s="9" t="str">
        <f t="shared" si="4"/>
        <v/>
      </c>
      <c r="B21" s="8"/>
      <c r="C21" s="24"/>
      <c r="D21" s="24"/>
      <c r="E21" s="24"/>
      <c r="F21" s="24"/>
      <c r="G21" s="24"/>
      <c r="H21" s="25">
        <f t="shared" si="0"/>
        <v>0</v>
      </c>
      <c r="I21" s="25">
        <f t="shared" si="1"/>
        <v>0</v>
      </c>
      <c r="J21" s="25">
        <f t="shared" si="3"/>
        <v>0</v>
      </c>
    </row>
    <row r="22" spans="1:10" ht="15.75" customHeight="1" x14ac:dyDescent="0.25">
      <c r="A22" s="9" t="str">
        <f t="shared" si="4"/>
        <v/>
      </c>
      <c r="B22" s="8"/>
      <c r="C22" s="24"/>
      <c r="D22" s="24"/>
      <c r="E22" s="24"/>
      <c r="F22" s="24"/>
      <c r="G22" s="24"/>
      <c r="H22" s="25">
        <f t="shared" si="0"/>
        <v>0</v>
      </c>
      <c r="I22" s="25">
        <f t="shared" si="1"/>
        <v>0</v>
      </c>
      <c r="J22" s="25">
        <f t="shared" si="3"/>
        <v>0</v>
      </c>
    </row>
    <row r="23" spans="1:10" ht="15.75" customHeight="1" x14ac:dyDescent="0.25">
      <c r="A23" s="9" t="str">
        <f t="shared" si="4"/>
        <v/>
      </c>
      <c r="B23" s="8"/>
      <c r="C23" s="24"/>
      <c r="D23" s="24"/>
      <c r="E23" s="24"/>
      <c r="F23" s="24"/>
      <c r="G23" s="24"/>
      <c r="H23" s="25">
        <f t="shared" si="0"/>
        <v>0</v>
      </c>
      <c r="I23" s="25">
        <f t="shared" si="1"/>
        <v>0</v>
      </c>
      <c r="J23" s="25">
        <f t="shared" si="3"/>
        <v>0</v>
      </c>
    </row>
    <row r="24" spans="1:10" ht="15.75" customHeight="1" x14ac:dyDescent="0.25">
      <c r="A24" s="9" t="str">
        <f t="shared" si="4"/>
        <v/>
      </c>
      <c r="B24" s="8"/>
      <c r="C24" s="24"/>
      <c r="D24" s="24"/>
      <c r="E24" s="24"/>
      <c r="F24" s="24"/>
      <c r="G24" s="24"/>
      <c r="H24" s="25">
        <f t="shared" si="0"/>
        <v>0</v>
      </c>
      <c r="I24" s="25">
        <f t="shared" si="1"/>
        <v>0</v>
      </c>
      <c r="J24" s="25">
        <f t="shared" si="3"/>
        <v>0</v>
      </c>
    </row>
    <row r="25" spans="1:10" ht="15.75" customHeight="1" x14ac:dyDescent="0.25">
      <c r="A25" s="9" t="str">
        <f t="shared" si="4"/>
        <v/>
      </c>
      <c r="B25" s="8"/>
      <c r="C25" s="24"/>
      <c r="D25" s="24"/>
      <c r="E25" s="24"/>
      <c r="F25" s="24"/>
      <c r="G25" s="24"/>
      <c r="H25" s="25">
        <f t="shared" si="0"/>
        <v>0</v>
      </c>
      <c r="I25" s="25">
        <f t="shared" si="1"/>
        <v>0</v>
      </c>
      <c r="J25" s="25">
        <f t="shared" si="3"/>
        <v>0</v>
      </c>
    </row>
    <row r="26" spans="1:10" ht="15.75" customHeight="1" x14ac:dyDescent="0.25">
      <c r="A26" s="9" t="str">
        <f t="shared" si="4"/>
        <v/>
      </c>
      <c r="B26" s="8"/>
      <c r="C26" s="24"/>
      <c r="D26" s="24"/>
      <c r="E26" s="24"/>
      <c r="F26" s="24"/>
      <c r="G26" s="24"/>
      <c r="H26" s="25">
        <f t="shared" si="0"/>
        <v>0</v>
      </c>
      <c r="I26" s="25">
        <f t="shared" si="1"/>
        <v>0</v>
      </c>
      <c r="J26" s="25">
        <f t="shared" si="3"/>
        <v>0</v>
      </c>
    </row>
    <row r="27" spans="1:10" ht="15.75" customHeight="1" x14ac:dyDescent="0.25">
      <c r="A27" s="9" t="str">
        <f t="shared" si="4"/>
        <v/>
      </c>
      <c r="B27" s="8"/>
      <c r="C27" s="24"/>
      <c r="D27" s="24"/>
      <c r="E27" s="24"/>
      <c r="F27" s="24"/>
      <c r="G27" s="24"/>
      <c r="H27" s="25">
        <f t="shared" si="0"/>
        <v>0</v>
      </c>
      <c r="I27" s="25">
        <f t="shared" si="1"/>
        <v>0</v>
      </c>
      <c r="J27" s="25">
        <f t="shared" si="3"/>
        <v>0</v>
      </c>
    </row>
    <row r="28" spans="1:10" ht="15.75" customHeight="1" x14ac:dyDescent="0.25">
      <c r="A28" s="9" t="str">
        <f t="shared" si="4"/>
        <v/>
      </c>
      <c r="B28" s="8"/>
      <c r="C28" s="24"/>
      <c r="D28" s="24"/>
      <c r="E28" s="24"/>
      <c r="F28" s="24"/>
      <c r="G28" s="24"/>
      <c r="H28" s="25">
        <f t="shared" si="0"/>
        <v>0</v>
      </c>
      <c r="I28" s="25">
        <f t="shared" si="1"/>
        <v>0</v>
      </c>
      <c r="J28" s="25">
        <f t="shared" si="3"/>
        <v>0</v>
      </c>
    </row>
    <row r="29" spans="1:10" ht="15.75" customHeight="1" x14ac:dyDescent="0.25">
      <c r="A29" s="9" t="str">
        <f t="shared" si="4"/>
        <v/>
      </c>
      <c r="B29" s="8"/>
      <c r="C29" s="24"/>
      <c r="D29" s="24"/>
      <c r="E29" s="24"/>
      <c r="F29" s="24"/>
      <c r="G29" s="24"/>
      <c r="H29" s="25">
        <f t="shared" si="0"/>
        <v>0</v>
      </c>
      <c r="I29" s="25">
        <f t="shared" si="1"/>
        <v>0</v>
      </c>
      <c r="J29" s="25">
        <f t="shared" si="3"/>
        <v>0</v>
      </c>
    </row>
    <row r="30" spans="1:10" ht="15.75" customHeight="1" x14ac:dyDescent="0.25">
      <c r="A30" s="9" t="str">
        <f t="shared" si="4"/>
        <v/>
      </c>
      <c r="B30" s="8"/>
      <c r="C30" s="24"/>
      <c r="D30" s="24"/>
      <c r="E30" s="24"/>
      <c r="F30" s="24"/>
      <c r="G30" s="24"/>
      <c r="H30" s="25">
        <f t="shared" si="0"/>
        <v>0</v>
      </c>
      <c r="I30" s="25">
        <f t="shared" si="1"/>
        <v>0</v>
      </c>
      <c r="J30" s="25">
        <f t="shared" si="3"/>
        <v>0</v>
      </c>
    </row>
    <row r="31" spans="1:10" ht="15.75" customHeight="1" x14ac:dyDescent="0.25">
      <c r="A31" s="9" t="str">
        <f t="shared" si="4"/>
        <v/>
      </c>
      <c r="B31" s="8"/>
      <c r="C31" s="24"/>
      <c r="D31" s="24"/>
      <c r="E31" s="24"/>
      <c r="F31" s="24"/>
      <c r="G31" s="24"/>
      <c r="H31" s="25">
        <f t="shared" si="0"/>
        <v>0</v>
      </c>
      <c r="I31" s="25">
        <f t="shared" si="1"/>
        <v>0</v>
      </c>
      <c r="J31" s="25">
        <f t="shared" si="3"/>
        <v>0</v>
      </c>
    </row>
    <row r="32" spans="1:10" ht="15.75" customHeight="1" x14ac:dyDescent="0.25">
      <c r="A32" s="9" t="str">
        <f t="shared" si="4"/>
        <v/>
      </c>
      <c r="B32" s="8"/>
      <c r="C32" s="24"/>
      <c r="D32" s="24"/>
      <c r="E32" s="24"/>
      <c r="F32" s="24"/>
      <c r="G32" s="24"/>
      <c r="H32" s="25">
        <f t="shared" si="0"/>
        <v>0</v>
      </c>
      <c r="I32" s="25">
        <f t="shared" si="1"/>
        <v>0</v>
      </c>
      <c r="J32" s="25">
        <f t="shared" si="3"/>
        <v>0</v>
      </c>
    </row>
    <row r="33" spans="1:10" ht="15.75" customHeight="1" x14ac:dyDescent="0.25">
      <c r="A33" s="9" t="str">
        <f t="shared" si="4"/>
        <v/>
      </c>
      <c r="B33" s="8"/>
      <c r="C33" s="24"/>
      <c r="D33" s="24"/>
      <c r="E33" s="24"/>
      <c r="F33" s="24"/>
      <c r="G33" s="24"/>
      <c r="H33" s="25">
        <f t="shared" si="0"/>
        <v>0</v>
      </c>
      <c r="I33" s="25">
        <f t="shared" si="1"/>
        <v>0</v>
      </c>
      <c r="J33" s="25">
        <f t="shared" si="3"/>
        <v>0</v>
      </c>
    </row>
    <row r="34" spans="1:10" ht="15.75" customHeight="1" x14ac:dyDescent="0.25">
      <c r="A34" s="9" t="str">
        <f t="shared" si="4"/>
        <v/>
      </c>
      <c r="B34" s="8"/>
      <c r="C34" s="24"/>
      <c r="D34" s="24"/>
      <c r="E34" s="24"/>
      <c r="F34" s="24"/>
      <c r="G34" s="24"/>
      <c r="H34" s="25">
        <f t="shared" si="0"/>
        <v>0</v>
      </c>
      <c r="I34" s="25">
        <f t="shared" si="1"/>
        <v>0</v>
      </c>
      <c r="J34" s="25">
        <f t="shared" si="3"/>
        <v>0</v>
      </c>
    </row>
    <row r="35" spans="1:10" ht="15.75" customHeight="1" x14ac:dyDescent="0.25">
      <c r="A35" s="9" t="str">
        <f t="shared" si="4"/>
        <v/>
      </c>
      <c r="B35" s="8"/>
      <c r="C35" s="24"/>
      <c r="D35" s="24"/>
      <c r="E35" s="24"/>
      <c r="F35" s="24"/>
      <c r="G35" s="24"/>
      <c r="H35" s="25">
        <f t="shared" si="0"/>
        <v>0</v>
      </c>
      <c r="I35" s="25">
        <f t="shared" si="1"/>
        <v>0</v>
      </c>
      <c r="J35" s="25">
        <f t="shared" si="3"/>
        <v>0</v>
      </c>
    </row>
    <row r="36" spans="1:10" ht="15.75" customHeight="1" x14ac:dyDescent="0.25">
      <c r="A36" s="9" t="str">
        <f t="shared" si="4"/>
        <v/>
      </c>
      <c r="B36" s="8"/>
      <c r="C36" s="24"/>
      <c r="D36" s="24"/>
      <c r="E36" s="24"/>
      <c r="F36" s="24"/>
      <c r="G36" s="24"/>
      <c r="H36" s="25">
        <f t="shared" si="0"/>
        <v>0</v>
      </c>
      <c r="I36" s="25">
        <f t="shared" si="1"/>
        <v>0</v>
      </c>
      <c r="J36" s="25">
        <f t="shared" si="3"/>
        <v>0</v>
      </c>
    </row>
    <row r="37" spans="1:10" ht="15.75" customHeight="1" x14ac:dyDescent="0.25">
      <c r="A37" s="9" t="str">
        <f t="shared" si="4"/>
        <v/>
      </c>
      <c r="B37" s="8"/>
      <c r="C37" s="24"/>
      <c r="D37" s="24"/>
      <c r="E37" s="24"/>
      <c r="F37" s="24"/>
      <c r="G37" s="24"/>
      <c r="H37" s="25">
        <f t="shared" si="0"/>
        <v>0</v>
      </c>
      <c r="I37" s="25">
        <f t="shared" si="1"/>
        <v>0</v>
      </c>
      <c r="J37" s="25">
        <f t="shared" si="3"/>
        <v>0</v>
      </c>
    </row>
    <row r="38" spans="1:10" ht="15.75" customHeight="1" x14ac:dyDescent="0.25">
      <c r="A38" s="9" t="str">
        <f t="shared" si="4"/>
        <v/>
      </c>
      <c r="B38" s="8"/>
      <c r="C38" s="24"/>
      <c r="D38" s="24"/>
      <c r="E38" s="24"/>
      <c r="F38" s="24"/>
      <c r="G38" s="24"/>
      <c r="H38" s="25">
        <f t="shared" si="0"/>
        <v>0</v>
      </c>
      <c r="I38" s="25">
        <f t="shared" si="1"/>
        <v>0</v>
      </c>
      <c r="J38" s="25">
        <f t="shared" si="3"/>
        <v>0</v>
      </c>
    </row>
    <row r="39" spans="1:10" ht="15.75" customHeight="1" x14ac:dyDescent="0.25">
      <c r="A39" s="9" t="str">
        <f t="shared" si="4"/>
        <v/>
      </c>
      <c r="B39" s="8"/>
      <c r="C39" s="24"/>
      <c r="D39" s="24"/>
      <c r="E39" s="24"/>
      <c r="F39" s="24"/>
      <c r="G39" s="24"/>
      <c r="H39" s="25">
        <f t="shared" si="0"/>
        <v>0</v>
      </c>
      <c r="I39" s="25">
        <f t="shared" si="1"/>
        <v>0</v>
      </c>
      <c r="J39" s="25">
        <f t="shared" si="3"/>
        <v>0</v>
      </c>
    </row>
    <row r="40" spans="1:10" ht="15.75" customHeight="1" x14ac:dyDescent="0.25">
      <c r="A40" s="9" t="str">
        <f t="shared" si="4"/>
        <v/>
      </c>
      <c r="B40" s="8"/>
      <c r="C40" s="24"/>
      <c r="D40" s="24"/>
      <c r="E40" s="24"/>
      <c r="F40" s="24"/>
      <c r="G40" s="24"/>
      <c r="H40" s="25">
        <f t="shared" si="0"/>
        <v>0</v>
      </c>
      <c r="I40" s="25">
        <f t="shared" si="1"/>
        <v>0</v>
      </c>
      <c r="J40" s="25">
        <f t="shared" si="3"/>
        <v>0</v>
      </c>
    </row>
  </sheetData>
  <conditionalFormatting sqref="B16:J40 H2:J15">
    <cfRule type="expression" dxfId="1" priority="10">
      <formula>$A2=""</formula>
    </cfRule>
  </conditionalFormatting>
  <conditionalFormatting sqref="B2:G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27"/>
  <sheetViews>
    <sheetView zoomScale="60" zoomScaleNormal="60" workbookViewId="0">
      <selection activeCell="K21" sqref="K21"/>
    </sheetView>
  </sheetViews>
  <sheetFormatPr defaultColWidth="14.36328125" defaultRowHeight="15.75" customHeight="1" x14ac:dyDescent="0.25"/>
  <cols>
    <col min="1" max="1" width="31.36328125" customWidth="1"/>
    <col min="2" max="7" width="13" customWidth="1"/>
    <col min="8" max="8" width="42.81640625" customWidth="1"/>
  </cols>
  <sheetData>
    <row r="1" spans="1:8" ht="27.75" customHeight="1" x14ac:dyDescent="0.3">
      <c r="A1" s="11" t="str">
        <f>"Percentage of deaths in baseline year ("&amp;start_year&amp;") attributable to cause"</f>
        <v>Percentage of deaths in baseline year (2017) attributable to cause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32</v>
      </c>
      <c r="H1" s="86" t="s">
        <v>204</v>
      </c>
    </row>
    <row r="2" spans="1:8" ht="15.75" customHeight="1" x14ac:dyDescent="0.25">
      <c r="A2" s="27" t="s">
        <v>73</v>
      </c>
      <c r="B2" s="82">
        <v>4.4999999999999997E-3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  <c r="H2" s="147" t="s">
        <v>206</v>
      </c>
    </row>
    <row r="3" spans="1:8" ht="15.75" customHeight="1" x14ac:dyDescent="0.25">
      <c r="A3" s="27" t="s">
        <v>7</v>
      </c>
      <c r="B3" s="82">
        <v>0.1603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148"/>
    </row>
    <row r="4" spans="1:8" ht="15.75" customHeight="1" x14ac:dyDescent="0.25">
      <c r="A4" s="27" t="s">
        <v>8</v>
      </c>
      <c r="B4" s="82">
        <v>6.3500000000000001E-2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148"/>
    </row>
    <row r="5" spans="1:8" ht="15.75" customHeight="1" x14ac:dyDescent="0.25">
      <c r="A5" s="27" t="s">
        <v>10</v>
      </c>
      <c r="B5" s="82">
        <v>0.28639999999999999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148"/>
    </row>
    <row r="6" spans="1:8" ht="15.75" customHeight="1" x14ac:dyDescent="0.25">
      <c r="A6" s="27" t="s">
        <v>13</v>
      </c>
      <c r="B6" s="82">
        <v>0.34749999999999998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148"/>
    </row>
    <row r="7" spans="1:8" ht="15.75" customHeight="1" x14ac:dyDescent="0.25">
      <c r="A7" s="27" t="s">
        <v>14</v>
      </c>
      <c r="B7" s="82">
        <v>1.12E-2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148"/>
    </row>
    <row r="8" spans="1:8" ht="15.75" customHeight="1" x14ac:dyDescent="0.25">
      <c r="A8" s="27" t="s">
        <v>27</v>
      </c>
      <c r="B8" s="82">
        <v>7.1300000000000002E-2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148"/>
    </row>
    <row r="9" spans="1:8" ht="15.75" customHeight="1" x14ac:dyDescent="0.25">
      <c r="A9" s="27" t="s">
        <v>15</v>
      </c>
      <c r="B9" s="82">
        <v>5.5300000000000002E-2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148"/>
    </row>
    <row r="10" spans="1:8" ht="15.75" customHeight="1" x14ac:dyDescent="0.25">
      <c r="A10" s="27" t="s">
        <v>71</v>
      </c>
      <c r="B10" s="28">
        <v>0</v>
      </c>
      <c r="C10" s="82">
        <v>0.15160000000000001</v>
      </c>
      <c r="D10" s="82">
        <v>0.15160000000000001</v>
      </c>
      <c r="E10" s="82">
        <v>0.15160000000000001</v>
      </c>
      <c r="F10" s="82">
        <v>0.15160000000000001</v>
      </c>
      <c r="G10" s="28">
        <v>0</v>
      </c>
      <c r="H10" s="148"/>
    </row>
    <row r="11" spans="1:8" ht="15.75" customHeight="1" x14ac:dyDescent="0.25">
      <c r="A11" s="27" t="s">
        <v>16</v>
      </c>
      <c r="B11" s="28">
        <v>0</v>
      </c>
      <c r="C11" s="82">
        <v>0.19289999999999999</v>
      </c>
      <c r="D11" s="82">
        <v>0.19289999999999999</v>
      </c>
      <c r="E11" s="82">
        <v>0.19289999999999999</v>
      </c>
      <c r="F11" s="82">
        <v>0.19289999999999999</v>
      </c>
      <c r="G11" s="28">
        <v>0</v>
      </c>
      <c r="H11" s="148"/>
    </row>
    <row r="12" spans="1:8" ht="15.75" customHeight="1" x14ac:dyDescent="0.25">
      <c r="A12" s="27" t="s">
        <v>17</v>
      </c>
      <c r="B12" s="28">
        <v>0</v>
      </c>
      <c r="C12" s="82">
        <v>3.7999999999999999E-2</v>
      </c>
      <c r="D12" s="82">
        <v>3.7999999999999999E-2</v>
      </c>
      <c r="E12" s="82">
        <v>3.7999999999999999E-2</v>
      </c>
      <c r="F12" s="82">
        <v>3.7999999999999999E-2</v>
      </c>
      <c r="G12" s="28">
        <v>0</v>
      </c>
      <c r="H12" s="148"/>
    </row>
    <row r="13" spans="1:8" ht="15.75" customHeight="1" x14ac:dyDescent="0.25">
      <c r="A13" s="27" t="s">
        <v>18</v>
      </c>
      <c r="B13" s="28">
        <v>0</v>
      </c>
      <c r="C13" s="82">
        <v>4.5499999999999999E-2</v>
      </c>
      <c r="D13" s="82">
        <v>4.5499999999999999E-2</v>
      </c>
      <c r="E13" s="82">
        <v>4.5499999999999999E-2</v>
      </c>
      <c r="F13" s="82">
        <v>4.5499999999999999E-2</v>
      </c>
      <c r="G13" s="28">
        <v>0</v>
      </c>
      <c r="H13" s="148"/>
    </row>
    <row r="14" spans="1:8" ht="15.75" customHeight="1" x14ac:dyDescent="0.25">
      <c r="A14" s="27" t="s">
        <v>19</v>
      </c>
      <c r="B14" s="28">
        <v>0</v>
      </c>
      <c r="C14" s="82">
        <v>0.1739</v>
      </c>
      <c r="D14" s="82">
        <v>0.1739</v>
      </c>
      <c r="E14" s="82">
        <v>0.1739</v>
      </c>
      <c r="F14" s="82">
        <v>0.1739</v>
      </c>
      <c r="G14" s="28">
        <v>0</v>
      </c>
      <c r="H14" s="148"/>
    </row>
    <row r="15" spans="1:8" ht="15.75" customHeight="1" x14ac:dyDescent="0.25">
      <c r="A15" s="27" t="s">
        <v>20</v>
      </c>
      <c r="B15" s="28">
        <v>0</v>
      </c>
      <c r="C15" s="82">
        <v>1.32E-2</v>
      </c>
      <c r="D15" s="82">
        <v>1.32E-2</v>
      </c>
      <c r="E15" s="82">
        <v>1.32E-2</v>
      </c>
      <c r="F15" s="82">
        <v>1.32E-2</v>
      </c>
      <c r="G15" s="28">
        <v>0</v>
      </c>
      <c r="H15" s="148"/>
    </row>
    <row r="16" spans="1:8" ht="15.75" customHeight="1" x14ac:dyDescent="0.25">
      <c r="A16" s="27" t="s">
        <v>21</v>
      </c>
      <c r="B16" s="28">
        <v>0</v>
      </c>
      <c r="C16" s="82">
        <v>7.7000000000000002E-3</v>
      </c>
      <c r="D16" s="82">
        <v>7.7000000000000002E-3</v>
      </c>
      <c r="E16" s="82">
        <v>7.7000000000000002E-3</v>
      </c>
      <c r="F16" s="82">
        <v>7.7000000000000002E-3</v>
      </c>
      <c r="G16" s="28">
        <v>0</v>
      </c>
      <c r="H16" s="148"/>
    </row>
    <row r="17" spans="1:8" ht="15.75" customHeight="1" x14ac:dyDescent="0.25">
      <c r="A17" s="27" t="s">
        <v>22</v>
      </c>
      <c r="B17" s="28">
        <v>0</v>
      </c>
      <c r="C17" s="82">
        <v>7.8600000000000003E-2</v>
      </c>
      <c r="D17" s="82">
        <v>7.8600000000000003E-2</v>
      </c>
      <c r="E17" s="82">
        <v>7.8600000000000003E-2</v>
      </c>
      <c r="F17" s="82">
        <v>7.8600000000000003E-2</v>
      </c>
      <c r="G17" s="28">
        <v>0</v>
      </c>
      <c r="H17" s="148"/>
    </row>
    <row r="18" spans="1:8" ht="15.75" customHeight="1" x14ac:dyDescent="0.25">
      <c r="A18" s="27" t="s">
        <v>23</v>
      </c>
      <c r="B18" s="28">
        <v>0</v>
      </c>
      <c r="C18" s="82">
        <v>0.29859999999999998</v>
      </c>
      <c r="D18" s="82">
        <v>0.29859999999999998</v>
      </c>
      <c r="E18" s="82">
        <v>0.29859999999999998</v>
      </c>
      <c r="F18" s="82">
        <v>0.29859999999999998</v>
      </c>
      <c r="G18" s="28">
        <v>0</v>
      </c>
      <c r="H18" s="148"/>
    </row>
    <row r="19" spans="1:8" ht="15.75" customHeight="1" x14ac:dyDescent="0.25">
      <c r="A19" s="27" t="s">
        <v>38</v>
      </c>
      <c r="B19" s="28">
        <v>0</v>
      </c>
      <c r="C19" s="28">
        <v>0</v>
      </c>
      <c r="D19" s="28">
        <v>0</v>
      </c>
      <c r="E19" s="28">
        <v>0</v>
      </c>
      <c r="F19" s="28">
        <v>0</v>
      </c>
      <c r="G19" s="83">
        <v>8.8900000000000007E-2</v>
      </c>
      <c r="H19" s="148"/>
    </row>
    <row r="20" spans="1:8" ht="15.75" customHeight="1" x14ac:dyDescent="0.25">
      <c r="A20" s="27" t="s">
        <v>39</v>
      </c>
      <c r="B20" s="28">
        <v>0</v>
      </c>
      <c r="C20" s="28">
        <v>0</v>
      </c>
      <c r="D20" s="28">
        <v>0</v>
      </c>
      <c r="E20" s="28">
        <v>0</v>
      </c>
      <c r="F20" s="28">
        <v>0</v>
      </c>
      <c r="G20" s="83">
        <v>8.6999999999999994E-3</v>
      </c>
      <c r="H20" s="148"/>
    </row>
    <row r="21" spans="1:8" ht="15.75" customHeight="1" x14ac:dyDescent="0.25">
      <c r="A21" s="27" t="s">
        <v>40</v>
      </c>
      <c r="B21" s="28">
        <v>0</v>
      </c>
      <c r="C21" s="28">
        <v>0</v>
      </c>
      <c r="D21" s="28">
        <v>0</v>
      </c>
      <c r="E21" s="28">
        <v>0</v>
      </c>
      <c r="F21" s="28">
        <v>0</v>
      </c>
      <c r="G21" s="83">
        <v>0.1575</v>
      </c>
      <c r="H21" s="148"/>
    </row>
    <row r="22" spans="1:8" ht="15.75" customHeight="1" x14ac:dyDescent="0.25">
      <c r="A22" s="27" t="s">
        <v>41</v>
      </c>
      <c r="B22" s="28">
        <v>0</v>
      </c>
      <c r="C22" s="28">
        <v>0</v>
      </c>
      <c r="D22" s="28">
        <v>0</v>
      </c>
      <c r="E22" s="28">
        <v>0</v>
      </c>
      <c r="F22" s="28">
        <v>0</v>
      </c>
      <c r="G22" s="83">
        <v>0.16980000000000001</v>
      </c>
      <c r="H22" s="148"/>
    </row>
    <row r="23" spans="1:8" ht="15.75" customHeight="1" x14ac:dyDescent="0.25">
      <c r="A23" s="27" t="s">
        <v>42</v>
      </c>
      <c r="B23" s="28">
        <v>0</v>
      </c>
      <c r="C23" s="28">
        <v>0</v>
      </c>
      <c r="D23" s="28">
        <v>0</v>
      </c>
      <c r="E23" s="28">
        <v>0</v>
      </c>
      <c r="F23" s="28">
        <v>0</v>
      </c>
      <c r="G23" s="83">
        <v>0.10489999999999999</v>
      </c>
      <c r="H23" s="148"/>
    </row>
    <row r="24" spans="1:8" ht="15.75" customHeight="1" x14ac:dyDescent="0.25">
      <c r="A24" s="27" t="s">
        <v>43</v>
      </c>
      <c r="B24" s="28">
        <v>0</v>
      </c>
      <c r="C24" s="28">
        <v>0</v>
      </c>
      <c r="D24" s="28">
        <v>0</v>
      </c>
      <c r="E24" s="28">
        <v>0</v>
      </c>
      <c r="F24" s="28">
        <v>0</v>
      </c>
      <c r="G24" s="83">
        <v>0.1087</v>
      </c>
      <c r="H24" s="148"/>
    </row>
    <row r="25" spans="1:8" ht="15.75" customHeight="1" x14ac:dyDescent="0.25">
      <c r="A25" s="27" t="s">
        <v>44</v>
      </c>
      <c r="B25" s="28">
        <v>0</v>
      </c>
      <c r="C25" s="28">
        <v>0</v>
      </c>
      <c r="D25" s="28">
        <v>0</v>
      </c>
      <c r="E25" s="28">
        <v>0</v>
      </c>
      <c r="F25" s="28">
        <v>0</v>
      </c>
      <c r="G25" s="83">
        <v>1.8800000000000001E-2</v>
      </c>
      <c r="H25" s="148"/>
    </row>
    <row r="26" spans="1:8" ht="15.75" customHeight="1" x14ac:dyDescent="0.25">
      <c r="A26" s="27" t="s">
        <v>45</v>
      </c>
      <c r="B26" s="28">
        <v>0</v>
      </c>
      <c r="C26" s="28">
        <v>0</v>
      </c>
      <c r="D26" s="28">
        <v>0</v>
      </c>
      <c r="E26" s="28">
        <v>0</v>
      </c>
      <c r="F26" s="28">
        <v>0</v>
      </c>
      <c r="G26" s="83">
        <v>8.5800000000000001E-2</v>
      </c>
      <c r="H26" s="148"/>
    </row>
    <row r="27" spans="1:8" ht="15.75" customHeight="1" x14ac:dyDescent="0.25">
      <c r="A27" s="27" t="s">
        <v>46</v>
      </c>
      <c r="B27" s="28">
        <v>0</v>
      </c>
      <c r="C27" s="28">
        <v>0</v>
      </c>
      <c r="D27" s="28">
        <v>0</v>
      </c>
      <c r="E27" s="28">
        <v>0</v>
      </c>
      <c r="F27" s="28">
        <v>0</v>
      </c>
      <c r="G27" s="83">
        <v>0.25690000000000002</v>
      </c>
      <c r="H27" s="148"/>
    </row>
  </sheetData>
  <mergeCells count="1">
    <mergeCell ref="H2:H27"/>
  </mergeCells>
  <phoneticPr fontId="8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44"/>
  <sheetViews>
    <sheetView zoomScale="74" zoomScaleNormal="60" workbookViewId="0">
      <selection activeCell="A21" sqref="A21:XFD145"/>
    </sheetView>
  </sheetViews>
  <sheetFormatPr defaultColWidth="14.36328125" defaultRowHeight="15.75" customHeight="1" x14ac:dyDescent="0.25"/>
  <cols>
    <col min="1" max="1" width="31.36328125" customWidth="1"/>
    <col min="2" max="2" width="24" customWidth="1"/>
    <col min="8" max="8" width="16.08984375" bestFit="1" customWidth="1"/>
  </cols>
  <sheetData>
    <row r="1" spans="1:15" ht="36" customHeight="1" x14ac:dyDescent="0.3">
      <c r="A1" s="31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86" t="s">
        <v>204</v>
      </c>
    </row>
    <row r="2" spans="1:15" ht="15.75" customHeight="1" x14ac:dyDescent="0.25">
      <c r="A2" s="6" t="s">
        <v>116</v>
      </c>
      <c r="B2" s="14" t="s">
        <v>118</v>
      </c>
      <c r="C2" s="129">
        <v>0.79905899999999996</v>
      </c>
      <c r="D2" s="129">
        <v>0.79905899999999996</v>
      </c>
      <c r="E2" s="129">
        <v>0.48318460000000002</v>
      </c>
      <c r="F2" s="129">
        <v>0.36179869999999997</v>
      </c>
      <c r="G2" s="129">
        <v>0.2456885</v>
      </c>
      <c r="H2" s="147" t="s">
        <v>216</v>
      </c>
    </row>
    <row r="3" spans="1:15" ht="15.75" customHeight="1" x14ac:dyDescent="0.25">
      <c r="A3" s="5"/>
      <c r="B3" s="14" t="s">
        <v>119</v>
      </c>
      <c r="C3" s="129">
        <v>0.1543851</v>
      </c>
      <c r="D3" s="129">
        <v>0.1543851</v>
      </c>
      <c r="E3" s="129">
        <v>0.35843629999999999</v>
      </c>
      <c r="F3" s="129">
        <v>0.25867230000000002</v>
      </c>
      <c r="G3" s="129">
        <v>0.26871200000000001</v>
      </c>
      <c r="H3" s="147"/>
    </row>
    <row r="4" spans="1:15" ht="15.75" customHeight="1" x14ac:dyDescent="0.25">
      <c r="A4" s="5"/>
      <c r="B4" s="14" t="s">
        <v>117</v>
      </c>
      <c r="C4" s="129">
        <v>4.6555899999999997E-2</v>
      </c>
      <c r="D4" s="129">
        <v>4.6555899999999997E-2</v>
      </c>
      <c r="E4" s="129">
        <v>5.2377E-2</v>
      </c>
      <c r="F4" s="129">
        <v>0.1946215</v>
      </c>
      <c r="G4" s="129">
        <v>0.31149169999999998</v>
      </c>
      <c r="H4" s="147"/>
    </row>
    <row r="5" spans="1:15" ht="15.75" customHeight="1" x14ac:dyDescent="0.25">
      <c r="A5" s="5"/>
      <c r="B5" s="14" t="s">
        <v>120</v>
      </c>
      <c r="C5" s="129">
        <v>0</v>
      </c>
      <c r="D5" s="129">
        <v>0</v>
      </c>
      <c r="E5" s="129">
        <v>0.106002</v>
      </c>
      <c r="F5" s="129">
        <v>0.1849075</v>
      </c>
      <c r="G5" s="129">
        <v>0.17410780000000001</v>
      </c>
      <c r="H5" s="147"/>
      <c r="I5" s="104"/>
    </row>
    <row r="6" spans="1:15" ht="15.75" customHeight="1" x14ac:dyDescent="0.25">
      <c r="B6" s="17"/>
      <c r="C6" s="33">
        <f>SUM(C2:C5)</f>
        <v>1</v>
      </c>
      <c r="D6" s="33"/>
      <c r="E6" s="33"/>
      <c r="F6" s="33"/>
      <c r="G6" s="33"/>
    </row>
    <row r="7" spans="1:15" ht="15.75" customHeight="1" x14ac:dyDescent="0.25">
      <c r="B7" s="17"/>
      <c r="C7" s="33"/>
      <c r="D7" s="33"/>
      <c r="E7" s="33"/>
      <c r="F7" s="33"/>
      <c r="G7" s="33"/>
    </row>
    <row r="8" spans="1:15" ht="15.75" customHeight="1" x14ac:dyDescent="0.25">
      <c r="A8" s="3" t="s">
        <v>115</v>
      </c>
      <c r="B8" s="9" t="s">
        <v>121</v>
      </c>
      <c r="C8" s="129">
        <v>0.83783370000000001</v>
      </c>
      <c r="D8" s="129">
        <v>0.83783370000000001</v>
      </c>
      <c r="E8" s="129">
        <v>0.74717219999999995</v>
      </c>
      <c r="F8" s="129">
        <v>0.6687748</v>
      </c>
      <c r="G8" s="129">
        <v>0.64204309999999998</v>
      </c>
      <c r="H8" s="147" t="s">
        <v>216</v>
      </c>
    </row>
    <row r="9" spans="1:15" ht="15.75" customHeight="1" x14ac:dyDescent="0.25">
      <c r="B9" s="9" t="s">
        <v>122</v>
      </c>
      <c r="C9" s="129">
        <v>0.1390033</v>
      </c>
      <c r="D9" s="129">
        <v>0.1390033</v>
      </c>
      <c r="E9" s="129">
        <v>0.17490710000000001</v>
      </c>
      <c r="F9" s="129">
        <v>0.26412239999999998</v>
      </c>
      <c r="G9" s="129">
        <v>0.2960025</v>
      </c>
      <c r="H9" s="147"/>
    </row>
    <row r="10" spans="1:15" ht="15.75" customHeight="1" x14ac:dyDescent="0.25">
      <c r="B10" s="9" t="s">
        <v>123</v>
      </c>
      <c r="C10" s="129">
        <v>1.8030600000000001E-2</v>
      </c>
      <c r="D10" s="129">
        <v>1.8030600000000001E-2</v>
      </c>
      <c r="E10" s="129">
        <v>6.4029900000000001E-2</v>
      </c>
      <c r="F10" s="129">
        <v>6.0698700000000001E-2</v>
      </c>
      <c r="G10" s="129">
        <v>4.7654000000000002E-2</v>
      </c>
      <c r="H10" s="147"/>
    </row>
    <row r="11" spans="1:15" ht="15.75" customHeight="1" x14ac:dyDescent="0.25">
      <c r="B11" s="9" t="s">
        <v>124</v>
      </c>
      <c r="C11" s="129">
        <v>5.1323999999999996E-3</v>
      </c>
      <c r="D11" s="129">
        <v>5.1323999999999996E-3</v>
      </c>
      <c r="E11" s="129">
        <v>1.38908E-2</v>
      </c>
      <c r="F11" s="129">
        <v>6.4041000000000002E-3</v>
      </c>
      <c r="G11" s="129">
        <v>1.43004E-2</v>
      </c>
      <c r="H11" s="147"/>
    </row>
    <row r="12" spans="1:15" ht="15.75" customHeight="1" x14ac:dyDescent="0.2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25">
      <c r="A13" s="15" t="s">
        <v>70</v>
      </c>
      <c r="C13" s="49" t="s">
        <v>1</v>
      </c>
      <c r="D13" s="49" t="s">
        <v>2</v>
      </c>
      <c r="E13" s="49" t="s">
        <v>3</v>
      </c>
      <c r="F13" s="49" t="s">
        <v>4</v>
      </c>
      <c r="G13" s="49" t="s">
        <v>5</v>
      </c>
      <c r="H13" s="87" t="s">
        <v>53</v>
      </c>
      <c r="I13" s="87" t="s">
        <v>54</v>
      </c>
      <c r="J13" s="87" t="s">
        <v>55</v>
      </c>
      <c r="K13" s="87" t="s">
        <v>56</v>
      </c>
      <c r="L13" s="87" t="s">
        <v>49</v>
      </c>
      <c r="M13" s="87" t="s">
        <v>50</v>
      </c>
      <c r="N13" s="87" t="s">
        <v>51</v>
      </c>
      <c r="O13" s="87" t="s">
        <v>52</v>
      </c>
    </row>
    <row r="14" spans="1:15" ht="15.75" customHeight="1" x14ac:dyDescent="0.25">
      <c r="B14" s="19" t="s">
        <v>132</v>
      </c>
      <c r="C14" s="137"/>
      <c r="D14" s="137"/>
      <c r="E14" s="129">
        <v>0.69379999999999997</v>
      </c>
      <c r="F14" s="129">
        <v>0.52910000000000001</v>
      </c>
      <c r="G14" s="129">
        <v>0.47649999999999998</v>
      </c>
      <c r="H14" s="138">
        <v>0.22539999999999999</v>
      </c>
      <c r="I14" s="138">
        <v>0.39219999999999999</v>
      </c>
      <c r="J14" s="138">
        <v>0.36230000000000001</v>
      </c>
      <c r="K14" s="138">
        <v>0.5917</v>
      </c>
      <c r="L14" s="138">
        <v>0.3301</v>
      </c>
      <c r="M14" s="138">
        <v>0.35260000000000002</v>
      </c>
      <c r="N14" s="138">
        <v>0.32390000000000002</v>
      </c>
      <c r="O14" s="138">
        <v>0.41760000000000003</v>
      </c>
    </row>
    <row r="15" spans="1:15" ht="15.75" customHeight="1" x14ac:dyDescent="0.25">
      <c r="B15" s="19" t="s">
        <v>68</v>
      </c>
      <c r="C15" s="37">
        <f t="shared" ref="C15:O15" si="0">iron_deficiency_anaemia*C14</f>
        <v>0</v>
      </c>
      <c r="D15" s="37">
        <f t="shared" si="0"/>
        <v>0</v>
      </c>
      <c r="E15" s="37">
        <f t="shared" si="0"/>
        <v>0.30194175999999995</v>
      </c>
      <c r="F15" s="37">
        <f t="shared" si="0"/>
        <v>0.23026431999999999</v>
      </c>
      <c r="G15" s="37">
        <f t="shared" si="0"/>
        <v>0.20737279999999997</v>
      </c>
      <c r="H15" s="37">
        <f t="shared" si="0"/>
        <v>9.8094079999999986E-2</v>
      </c>
      <c r="I15" s="37">
        <f t="shared" si="0"/>
        <v>0.17068543999999999</v>
      </c>
      <c r="J15" s="37">
        <f t="shared" si="0"/>
        <v>0.15767296</v>
      </c>
      <c r="K15" s="37">
        <f t="shared" si="0"/>
        <v>0.25750783999999999</v>
      </c>
      <c r="L15" s="37">
        <f t="shared" si="0"/>
        <v>0.14365951999999999</v>
      </c>
      <c r="M15" s="37">
        <f t="shared" si="0"/>
        <v>0.15345152000000001</v>
      </c>
      <c r="N15" s="37">
        <f t="shared" si="0"/>
        <v>0.14096127999999999</v>
      </c>
      <c r="O15" s="37">
        <f t="shared" si="0"/>
        <v>0.18173951999999999</v>
      </c>
    </row>
    <row r="16" spans="1:15" ht="19" customHeight="1" x14ac:dyDescent="0.3">
      <c r="B16" s="94" t="s">
        <v>211</v>
      </c>
      <c r="C16" s="149" t="s">
        <v>216</v>
      </c>
      <c r="D16" s="150"/>
      <c r="E16" s="150"/>
      <c r="F16" s="150"/>
      <c r="G16" s="150"/>
      <c r="H16" s="151" t="s">
        <v>216</v>
      </c>
      <c r="I16" s="152"/>
      <c r="J16" s="152"/>
      <c r="K16" s="152"/>
      <c r="L16" s="152"/>
      <c r="M16" s="152"/>
      <c r="N16" s="152"/>
      <c r="O16" s="152"/>
    </row>
    <row r="17" spans="3:15" ht="49.75" customHeight="1" x14ac:dyDescent="0.25">
      <c r="C17" s="10"/>
      <c r="D17" s="10"/>
      <c r="E17" s="10"/>
      <c r="F17" s="10"/>
      <c r="G17" s="10"/>
      <c r="H17" s="153"/>
      <c r="I17" s="153"/>
      <c r="J17" s="153"/>
      <c r="K17" s="153"/>
      <c r="L17" s="153"/>
      <c r="M17" s="153"/>
      <c r="N17" s="153"/>
      <c r="O17" s="153"/>
    </row>
    <row r="44" spans="14:14" ht="15.75" customHeight="1" x14ac:dyDescent="0.25">
      <c r="N44">
        <v>30</v>
      </c>
    </row>
  </sheetData>
  <mergeCells count="5">
    <mergeCell ref="H2:H5"/>
    <mergeCell ref="H8:H11"/>
    <mergeCell ref="C16:G16"/>
    <mergeCell ref="H16:O16"/>
    <mergeCell ref="H17:O17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H5"/>
  <sheetViews>
    <sheetView zoomScale="89" zoomScaleNormal="60" workbookViewId="0">
      <selection activeCell="F12" sqref="F12"/>
    </sheetView>
  </sheetViews>
  <sheetFormatPr defaultColWidth="8.81640625" defaultRowHeight="12.5" x14ac:dyDescent="0.25"/>
  <cols>
    <col min="1" max="1" width="28.81640625" customWidth="1"/>
    <col min="2" max="7" width="13.36328125" customWidth="1"/>
    <col min="8" max="8" width="16.08984375" bestFit="1" customWidth="1"/>
  </cols>
  <sheetData>
    <row r="1" spans="1:8" ht="40.5" customHeight="1" x14ac:dyDescent="0.3">
      <c r="A1" s="31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86" t="s">
        <v>204</v>
      </c>
    </row>
    <row r="2" spans="1:8" x14ac:dyDescent="0.25">
      <c r="A2" s="3" t="s">
        <v>24</v>
      </c>
      <c r="B2" s="50" t="s">
        <v>166</v>
      </c>
      <c r="C2" s="129">
        <v>0.78233390000000003</v>
      </c>
      <c r="D2" s="129">
        <v>0.36827300000000002</v>
      </c>
      <c r="E2" s="129"/>
      <c r="F2" s="129"/>
      <c r="G2" s="129"/>
      <c r="H2" s="147" t="s">
        <v>207</v>
      </c>
    </row>
    <row r="3" spans="1:8" x14ac:dyDescent="0.25">
      <c r="B3" s="50" t="s">
        <v>167</v>
      </c>
      <c r="C3" s="139">
        <v>0.2176661</v>
      </c>
      <c r="D3" s="139">
        <v>0.30685050000000003</v>
      </c>
      <c r="E3" s="139"/>
      <c r="F3" s="139"/>
      <c r="G3" s="139"/>
      <c r="H3" s="147"/>
    </row>
    <row r="4" spans="1:8" x14ac:dyDescent="0.25">
      <c r="B4" s="50" t="s">
        <v>168</v>
      </c>
      <c r="C4" s="139">
        <v>0</v>
      </c>
      <c r="D4" s="139">
        <v>0.32487650000000001</v>
      </c>
      <c r="E4" s="132">
        <v>0.98154140000000001</v>
      </c>
      <c r="F4" s="132">
        <v>0.88201940000000001</v>
      </c>
      <c r="G4" s="132">
        <v>0.2170716</v>
      </c>
      <c r="H4" s="147"/>
    </row>
    <row r="5" spans="1:8" x14ac:dyDescent="0.25">
      <c r="B5" s="50" t="s">
        <v>169</v>
      </c>
      <c r="C5" s="37">
        <f>1-SUM(C2:C4)</f>
        <v>0</v>
      </c>
      <c r="D5" s="37">
        <f t="shared" ref="D5:G5" si="0">1-SUM(D2:D4)</f>
        <v>0</v>
      </c>
      <c r="E5" s="37">
        <f t="shared" si="0"/>
        <v>1.8458599999999992E-2</v>
      </c>
      <c r="F5" s="37">
        <f t="shared" si="0"/>
        <v>0.11798059999999999</v>
      </c>
      <c r="G5" s="37">
        <f t="shared" si="0"/>
        <v>0.78292839999999997</v>
      </c>
      <c r="H5" s="147"/>
    </row>
  </sheetData>
  <mergeCells count="1">
    <mergeCell ref="H2:H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60" zoomScaleNormal="60" workbookViewId="0">
      <selection activeCell="G35" sqref="G35"/>
    </sheetView>
  </sheetViews>
  <sheetFormatPr defaultColWidth="8.81640625" defaultRowHeight="12.5" x14ac:dyDescent="0.25"/>
  <cols>
    <col min="1" max="1" width="37" customWidth="1"/>
    <col min="2" max="2" width="29.36328125" customWidth="1"/>
  </cols>
  <sheetData>
    <row r="1" spans="1:11" ht="13" x14ac:dyDescent="0.3">
      <c r="A1" s="4" t="s">
        <v>139</v>
      </c>
      <c r="B1" s="4" t="s">
        <v>146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140</v>
      </c>
      <c r="B2" s="17" t="s">
        <v>144</v>
      </c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25">
      <c r="B3" s="17"/>
    </row>
    <row r="4" spans="1:11" x14ac:dyDescent="0.25">
      <c r="A4" t="s">
        <v>141</v>
      </c>
      <c r="B4" s="17" t="s">
        <v>144</v>
      </c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25">
      <c r="B5" s="17"/>
    </row>
    <row r="6" spans="1:11" x14ac:dyDescent="0.25">
      <c r="A6" t="s">
        <v>142</v>
      </c>
      <c r="B6" s="17" t="s">
        <v>144</v>
      </c>
      <c r="C6" s="32"/>
      <c r="D6" s="32"/>
      <c r="E6" s="32"/>
      <c r="F6" s="32"/>
      <c r="G6" s="32"/>
      <c r="H6" s="32"/>
      <c r="I6" s="32"/>
      <c r="J6" s="32"/>
      <c r="K6" s="32"/>
    </row>
    <row r="7" spans="1:11" x14ac:dyDescent="0.25">
      <c r="B7" s="17" t="s">
        <v>32</v>
      </c>
      <c r="C7" s="32"/>
      <c r="D7" s="32"/>
      <c r="E7" s="32"/>
      <c r="F7" s="32"/>
      <c r="G7" s="32"/>
      <c r="H7" s="32"/>
      <c r="I7" s="32"/>
      <c r="J7" s="32"/>
      <c r="K7" s="32"/>
    </row>
    <row r="8" spans="1:11" x14ac:dyDescent="0.25">
      <c r="B8" s="17" t="s">
        <v>145</v>
      </c>
      <c r="C8" s="32"/>
      <c r="D8" s="32"/>
      <c r="E8" s="32"/>
      <c r="F8" s="32"/>
      <c r="G8" s="32"/>
      <c r="H8" s="32"/>
      <c r="I8" s="32"/>
      <c r="J8" s="32"/>
      <c r="K8" s="32"/>
    </row>
    <row r="10" spans="1:11" x14ac:dyDescent="0.25">
      <c r="A10" t="s">
        <v>143</v>
      </c>
      <c r="B10" s="19" t="s">
        <v>148</v>
      </c>
      <c r="C10" s="32"/>
      <c r="D10" s="32"/>
      <c r="E10" s="32"/>
      <c r="F10" s="32"/>
      <c r="G10" s="32"/>
      <c r="H10" s="32"/>
      <c r="I10" s="32"/>
      <c r="J10" s="32"/>
      <c r="K10" s="32"/>
    </row>
    <row r="11" spans="1:11" x14ac:dyDescent="0.25">
      <c r="B11" s="39" t="s">
        <v>147</v>
      </c>
      <c r="C11" s="32"/>
      <c r="D11" s="32"/>
      <c r="E11" s="32"/>
      <c r="F11" s="32"/>
      <c r="G11" s="32"/>
      <c r="H11" s="32"/>
      <c r="I11" s="32"/>
      <c r="J11" s="32"/>
      <c r="K11" s="32"/>
    </row>
    <row r="13" spans="1:11" x14ac:dyDescent="0.25">
      <c r="A13" s="15" t="s">
        <v>74</v>
      </c>
      <c r="B13" s="39" t="s">
        <v>149</v>
      </c>
      <c r="C13" s="32"/>
      <c r="D13" s="32"/>
      <c r="E13" s="32"/>
      <c r="F13" s="32"/>
      <c r="G13" s="32"/>
      <c r="H13" s="32"/>
      <c r="I13" s="32"/>
      <c r="J13" s="32"/>
      <c r="K13" s="32"/>
    </row>
    <row r="14" spans="1:11" x14ac:dyDescent="0.25">
      <c r="B14" s="19" t="s">
        <v>170</v>
      </c>
      <c r="C14" s="32"/>
      <c r="D14" s="32"/>
      <c r="E14" s="32"/>
      <c r="F14" s="32"/>
      <c r="G14" s="32"/>
      <c r="H14" s="32"/>
      <c r="I14" s="32"/>
      <c r="J14" s="32"/>
      <c r="K14" s="3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60" zoomScaleNormal="60" workbookViewId="0">
      <selection activeCell="J1" sqref="J1"/>
    </sheetView>
  </sheetViews>
  <sheetFormatPr defaultColWidth="11.36328125" defaultRowHeight="12.5" x14ac:dyDescent="0.25"/>
  <cols>
    <col min="1" max="1" width="17" style="42" customWidth="1"/>
    <col min="2" max="2" width="19.08984375" style="42" customWidth="1"/>
    <col min="3" max="3" width="13.36328125" style="42" customWidth="1"/>
    <col min="4" max="16384" width="11.36328125" style="42"/>
  </cols>
  <sheetData>
    <row r="1" spans="1:5" ht="13" x14ac:dyDescent="0.3">
      <c r="A1" s="55" t="s">
        <v>177</v>
      </c>
      <c r="B1" s="56" t="s">
        <v>176</v>
      </c>
      <c r="C1" s="56" t="s">
        <v>175</v>
      </c>
      <c r="D1" s="56" t="s">
        <v>174</v>
      </c>
      <c r="E1" s="56" t="s">
        <v>173</v>
      </c>
    </row>
    <row r="2" spans="1:5" ht="13" x14ac:dyDescent="0.3">
      <c r="A2" s="54" t="s">
        <v>172</v>
      </c>
      <c r="B2" s="51" t="s">
        <v>32</v>
      </c>
      <c r="C2" s="75"/>
      <c r="D2" s="75" t="b">
        <v>1</v>
      </c>
      <c r="E2" s="76" t="b">
        <f>IF(E$7="","",E$7)</f>
        <v>1</v>
      </c>
    </row>
    <row r="3" spans="1:5" x14ac:dyDescent="0.25">
      <c r="A3" s="52"/>
      <c r="B3" s="51" t="s">
        <v>1</v>
      </c>
      <c r="C3" s="75"/>
      <c r="D3" s="75" t="b">
        <v>1</v>
      </c>
      <c r="E3" s="76" t="b">
        <f>IF(E$7="","",E$7)</f>
        <v>1</v>
      </c>
    </row>
    <row r="4" spans="1:5" x14ac:dyDescent="0.25">
      <c r="A4" s="52"/>
      <c r="B4" s="51" t="s">
        <v>2</v>
      </c>
      <c r="C4" s="75"/>
      <c r="D4" s="75" t="b">
        <v>1</v>
      </c>
      <c r="E4" s="76" t="b">
        <f>IF(E$7="","",E$7)</f>
        <v>1</v>
      </c>
    </row>
    <row r="5" spans="1:5" x14ac:dyDescent="0.25">
      <c r="A5" s="52"/>
      <c r="B5" s="51" t="s">
        <v>3</v>
      </c>
      <c r="C5" s="75"/>
      <c r="D5" s="75" t="b">
        <v>1</v>
      </c>
      <c r="E5" s="76" t="b">
        <f>IF(E$7="","",E$7)</f>
        <v>1</v>
      </c>
    </row>
    <row r="6" spans="1:5" x14ac:dyDescent="0.25">
      <c r="A6" s="52"/>
      <c r="B6" s="51" t="s">
        <v>4</v>
      </c>
      <c r="C6" s="75"/>
      <c r="D6" s="75" t="b">
        <v>1</v>
      </c>
      <c r="E6" s="76" t="b">
        <f>IF(E$7="","",E$7)</f>
        <v>1</v>
      </c>
    </row>
    <row r="7" spans="1:5" x14ac:dyDescent="0.25">
      <c r="A7" s="52"/>
      <c r="B7" s="51" t="s">
        <v>171</v>
      </c>
      <c r="C7" s="77"/>
      <c r="D7" s="78"/>
      <c r="E7" s="75" t="b">
        <v>1</v>
      </c>
    </row>
    <row r="8" spans="1:5" x14ac:dyDescent="0.25">
      <c r="C8" s="79"/>
      <c r="D8" s="79"/>
      <c r="E8" s="79"/>
    </row>
    <row r="9" spans="1:5" ht="13" x14ac:dyDescent="0.3">
      <c r="A9" s="54" t="s">
        <v>199</v>
      </c>
      <c r="B9" s="51" t="s">
        <v>32</v>
      </c>
      <c r="C9" s="75" t="b">
        <v>1</v>
      </c>
      <c r="D9" s="75"/>
      <c r="E9" s="76" t="b">
        <f>IF(E$7="","",E$7)</f>
        <v>1</v>
      </c>
    </row>
    <row r="10" spans="1:5" x14ac:dyDescent="0.25">
      <c r="A10" s="52"/>
      <c r="B10" s="51" t="s">
        <v>1</v>
      </c>
      <c r="C10" s="75" t="b">
        <v>1</v>
      </c>
      <c r="D10" s="75"/>
      <c r="E10" s="76" t="b">
        <f>IF(E$7="","",E$7)</f>
        <v>1</v>
      </c>
    </row>
    <row r="11" spans="1:5" x14ac:dyDescent="0.25">
      <c r="A11" s="52"/>
      <c r="B11" s="51" t="s">
        <v>2</v>
      </c>
      <c r="C11" s="75" t="b">
        <v>1</v>
      </c>
      <c r="D11" s="75"/>
      <c r="E11" s="76" t="b">
        <f>IF(E$7="","",E$7)</f>
        <v>1</v>
      </c>
    </row>
    <row r="12" spans="1:5" x14ac:dyDescent="0.25">
      <c r="A12" s="52"/>
      <c r="B12" s="51" t="s">
        <v>3</v>
      </c>
      <c r="C12" s="75" t="b">
        <v>1</v>
      </c>
      <c r="D12" s="75"/>
      <c r="E12" s="76" t="b">
        <f>IF(E$7="","",E$7)</f>
        <v>1</v>
      </c>
    </row>
    <row r="13" spans="1:5" x14ac:dyDescent="0.25">
      <c r="A13" s="52"/>
      <c r="B13" s="51" t="s">
        <v>4</v>
      </c>
      <c r="C13" s="75" t="b">
        <v>1</v>
      </c>
      <c r="D13" s="75"/>
      <c r="E13" s="76" t="b">
        <f>IF(E$7="","",E$7)</f>
        <v>1</v>
      </c>
    </row>
    <row r="14" spans="1:5" x14ac:dyDescent="0.25">
      <c r="A14" s="52"/>
      <c r="B14" s="51" t="s">
        <v>171</v>
      </c>
      <c r="C14" s="77"/>
      <c r="D14" s="78"/>
      <c r="E14" s="75"/>
    </row>
    <row r="15" spans="1:5" x14ac:dyDescent="0.25">
      <c r="C15" s="79"/>
      <c r="D15" s="79"/>
      <c r="E15" s="79"/>
    </row>
    <row r="16" spans="1:5" ht="13" x14ac:dyDescent="0.3">
      <c r="A16" s="54" t="s">
        <v>200</v>
      </c>
      <c r="B16" s="51" t="s">
        <v>32</v>
      </c>
      <c r="C16" s="75"/>
      <c r="D16" s="75"/>
      <c r="E16" s="76" t="b">
        <f>IF(E$7="","",E$7)</f>
        <v>1</v>
      </c>
    </row>
    <row r="17" spans="1:5" x14ac:dyDescent="0.25">
      <c r="A17" s="52"/>
      <c r="B17" s="51" t="s">
        <v>1</v>
      </c>
      <c r="C17" s="75"/>
      <c r="D17" s="75"/>
      <c r="E17" s="76" t="b">
        <f>IF(E$7="","",E$7)</f>
        <v>1</v>
      </c>
    </row>
    <row r="18" spans="1:5" x14ac:dyDescent="0.25">
      <c r="A18" s="52"/>
      <c r="B18" s="51" t="s">
        <v>2</v>
      </c>
      <c r="C18" s="75"/>
      <c r="D18" s="75"/>
      <c r="E18" s="76" t="b">
        <f>IF(E$7="","",E$7)</f>
        <v>1</v>
      </c>
    </row>
    <row r="19" spans="1:5" x14ac:dyDescent="0.25">
      <c r="A19" s="52"/>
      <c r="B19" s="51" t="s">
        <v>3</v>
      </c>
      <c r="C19" s="75"/>
      <c r="D19" s="75"/>
      <c r="E19" s="76" t="b">
        <f>IF(E$7="","",E$7)</f>
        <v>1</v>
      </c>
    </row>
    <row r="20" spans="1:5" x14ac:dyDescent="0.25">
      <c r="A20" s="52"/>
      <c r="B20" s="51" t="s">
        <v>4</v>
      </c>
      <c r="C20" s="75"/>
      <c r="D20" s="75"/>
      <c r="E20" s="76" t="b">
        <f>IF(E$7="","",E$7)</f>
        <v>1</v>
      </c>
    </row>
    <row r="21" spans="1:5" x14ac:dyDescent="0.25">
      <c r="A21" s="52"/>
      <c r="B21" s="51" t="s">
        <v>171</v>
      </c>
      <c r="C21" s="77"/>
      <c r="D21" s="78"/>
      <c r="E21" s="75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60" zoomScaleNormal="60" workbookViewId="0">
      <selection activeCell="C7" sqref="C7"/>
    </sheetView>
  </sheetViews>
  <sheetFormatPr defaultColWidth="10.81640625" defaultRowHeight="12.5" x14ac:dyDescent="0.25"/>
  <cols>
    <col min="1" max="1" width="15.54296875" customWidth="1"/>
    <col min="2" max="2" width="15.36328125" customWidth="1"/>
    <col min="3" max="3" width="21" customWidth="1"/>
    <col min="4" max="4" width="12.81640625" customWidth="1"/>
  </cols>
  <sheetData>
    <row r="1" spans="1:4" ht="13" x14ac:dyDescent="0.3">
      <c r="A1" s="71" t="s">
        <v>165</v>
      </c>
      <c r="B1" s="56" t="s">
        <v>180</v>
      </c>
      <c r="C1" s="72" t="s">
        <v>181</v>
      </c>
      <c r="D1" s="72" t="s">
        <v>185</v>
      </c>
    </row>
    <row r="2" spans="1:4" ht="13" x14ac:dyDescent="0.3">
      <c r="A2" s="72" t="s">
        <v>69</v>
      </c>
      <c r="B2" s="51" t="s">
        <v>67</v>
      </c>
      <c r="C2" s="51" t="s">
        <v>182</v>
      </c>
      <c r="D2" s="75"/>
    </row>
    <row r="3" spans="1:4" ht="13" x14ac:dyDescent="0.3">
      <c r="A3" s="72" t="s">
        <v>184</v>
      </c>
      <c r="B3" s="51" t="s">
        <v>175</v>
      </c>
      <c r="C3" s="51" t="s">
        <v>183</v>
      </c>
      <c r="D3" s="7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H39"/>
  <sheetViews>
    <sheetView zoomScale="107" zoomScaleNormal="60" workbookViewId="0">
      <selection activeCell="AJ1" sqref="H1:AJ1048576"/>
    </sheetView>
  </sheetViews>
  <sheetFormatPr defaultColWidth="14.36328125" defaultRowHeight="15.75" customHeight="1" x14ac:dyDescent="0.25"/>
  <cols>
    <col min="1" max="1" width="56" style="57" customWidth="1"/>
    <col min="2" max="2" width="14.36328125" style="42"/>
    <col min="3" max="3" width="20.36328125" style="42" customWidth="1"/>
    <col min="4" max="4" width="20.08984375" style="42" customWidth="1"/>
    <col min="5" max="5" width="12.08984375" style="42" customWidth="1"/>
    <col min="6" max="6" width="26.1796875" style="50" customWidth="1"/>
    <col min="7" max="7" width="15.81640625" style="42" customWidth="1"/>
    <col min="8" max="16384" width="14.36328125" style="42"/>
  </cols>
  <sheetData>
    <row r="1" spans="1:8" ht="56.65" customHeight="1" x14ac:dyDescent="0.35">
      <c r="A1" s="62" t="s">
        <v>69</v>
      </c>
      <c r="B1" s="156" t="s">
        <v>258</v>
      </c>
      <c r="C1" s="61" t="s">
        <v>201</v>
      </c>
      <c r="D1" s="60" t="s">
        <v>202</v>
      </c>
      <c r="E1" s="88" t="s">
        <v>208</v>
      </c>
      <c r="F1" s="114" t="s">
        <v>248</v>
      </c>
      <c r="G1" s="91" t="s">
        <v>209</v>
      </c>
    </row>
    <row r="2" spans="1:8" ht="15.75" customHeight="1" x14ac:dyDescent="0.25">
      <c r="A2" s="57" t="s">
        <v>29</v>
      </c>
      <c r="B2" s="157"/>
      <c r="C2" s="58">
        <v>0.95</v>
      </c>
      <c r="D2" s="59">
        <v>25</v>
      </c>
      <c r="E2" s="89"/>
      <c r="F2" s="90"/>
      <c r="G2" s="89" t="s">
        <v>212</v>
      </c>
    </row>
    <row r="3" spans="1:8" ht="15.75" customHeight="1" x14ac:dyDescent="0.25">
      <c r="A3" s="57" t="s">
        <v>86</v>
      </c>
      <c r="B3" s="157"/>
      <c r="C3" s="58">
        <v>0.95</v>
      </c>
      <c r="D3" s="59">
        <v>1</v>
      </c>
      <c r="E3" s="90"/>
      <c r="F3" s="90"/>
      <c r="G3" s="89" t="s">
        <v>210</v>
      </c>
    </row>
    <row r="4" spans="1:8" ht="15.75" customHeight="1" x14ac:dyDescent="0.25">
      <c r="A4" s="57" t="s">
        <v>61</v>
      </c>
      <c r="B4" s="157"/>
      <c r="C4" s="58">
        <v>0.95</v>
      </c>
      <c r="D4" s="59">
        <f>180</f>
        <v>180</v>
      </c>
      <c r="E4" s="90"/>
      <c r="F4" s="90"/>
      <c r="G4" s="89" t="s">
        <v>210</v>
      </c>
    </row>
    <row r="5" spans="1:8" ht="15.75" customHeight="1" x14ac:dyDescent="0.3">
      <c r="A5" s="92" t="s">
        <v>198</v>
      </c>
      <c r="B5" s="129">
        <v>0.22699999999999998</v>
      </c>
      <c r="C5" s="58">
        <v>0.95</v>
      </c>
      <c r="D5" s="116">
        <f>SUM('Programs family planning'!E2:E10)</f>
        <v>0.82100000000000006</v>
      </c>
      <c r="E5" s="89" t="s">
        <v>216</v>
      </c>
      <c r="F5" s="115" t="s">
        <v>230</v>
      </c>
      <c r="G5" s="89"/>
    </row>
    <row r="6" spans="1:8" ht="15.75" customHeight="1" x14ac:dyDescent="0.3">
      <c r="A6" s="92"/>
      <c r="B6" s="129">
        <v>9.0999999999999998E-2</v>
      </c>
      <c r="C6" s="58">
        <v>0.95</v>
      </c>
      <c r="D6" s="116">
        <v>8.2000000000000003E-2</v>
      </c>
      <c r="E6" s="89" t="s">
        <v>216</v>
      </c>
      <c r="F6" s="115" t="s">
        <v>231</v>
      </c>
      <c r="G6" s="89"/>
    </row>
    <row r="7" spans="1:8" ht="15.75" customHeight="1" x14ac:dyDescent="0.25">
      <c r="A7" s="57" t="s">
        <v>63</v>
      </c>
      <c r="B7" s="130"/>
      <c r="C7" s="58">
        <v>0.95</v>
      </c>
      <c r="D7" s="59">
        <v>0.82</v>
      </c>
      <c r="E7" s="89"/>
      <c r="F7" s="90"/>
      <c r="G7" s="89"/>
    </row>
    <row r="8" spans="1:8" ht="15.75" customHeight="1" x14ac:dyDescent="0.25">
      <c r="A8" s="70" t="s">
        <v>187</v>
      </c>
      <c r="B8" s="130"/>
      <c r="C8" s="58">
        <v>0.95</v>
      </c>
      <c r="D8" s="59">
        <v>0.73</v>
      </c>
      <c r="E8" s="89"/>
      <c r="F8" s="90"/>
      <c r="G8" s="89"/>
    </row>
    <row r="9" spans="1:8" ht="15.75" customHeight="1" x14ac:dyDescent="0.25">
      <c r="A9" s="70" t="s">
        <v>188</v>
      </c>
      <c r="B9" s="130"/>
      <c r="C9" s="58">
        <v>0.95</v>
      </c>
      <c r="D9" s="59">
        <v>1.78</v>
      </c>
      <c r="E9" s="89"/>
      <c r="F9" s="90"/>
      <c r="G9" s="89"/>
    </row>
    <row r="10" spans="1:8" ht="15.75" customHeight="1" x14ac:dyDescent="0.25">
      <c r="A10" s="70" t="s">
        <v>189</v>
      </c>
      <c r="B10" s="130"/>
      <c r="C10" s="58">
        <v>0.95</v>
      </c>
      <c r="D10" s="59">
        <v>0.24</v>
      </c>
      <c r="E10" s="89"/>
      <c r="F10" s="90"/>
      <c r="G10" s="89"/>
    </row>
    <row r="11" spans="1:8" ht="15.75" customHeight="1" x14ac:dyDescent="0.25">
      <c r="A11" s="70" t="s">
        <v>190</v>
      </c>
      <c r="B11" s="130"/>
      <c r="C11" s="58">
        <v>0.95</v>
      </c>
      <c r="D11" s="59">
        <v>0.55000000000000004</v>
      </c>
      <c r="E11" s="89"/>
      <c r="F11" s="90"/>
      <c r="G11" s="89" t="s">
        <v>210</v>
      </c>
    </row>
    <row r="12" spans="1:8" ht="15.75" customHeight="1" x14ac:dyDescent="0.25">
      <c r="A12" s="14" t="s">
        <v>186</v>
      </c>
      <c r="B12" s="130"/>
      <c r="C12" s="58">
        <v>0.95</v>
      </c>
      <c r="D12" s="59">
        <v>0.73</v>
      </c>
      <c r="E12" s="89"/>
      <c r="F12" s="90"/>
      <c r="G12" s="89"/>
    </row>
    <row r="13" spans="1:8" ht="15.75" customHeight="1" x14ac:dyDescent="0.35">
      <c r="A13" s="93" t="s">
        <v>191</v>
      </c>
      <c r="B13" s="129">
        <v>0.64</v>
      </c>
      <c r="C13" s="58">
        <v>0.95</v>
      </c>
      <c r="D13" s="59">
        <v>2</v>
      </c>
      <c r="E13" s="89" t="s">
        <v>216</v>
      </c>
      <c r="F13" s="90" t="s">
        <v>246</v>
      </c>
      <c r="G13" s="89"/>
      <c r="H13" s="99"/>
    </row>
    <row r="14" spans="1:8" ht="15.75" customHeight="1" x14ac:dyDescent="0.3">
      <c r="A14" s="92" t="s">
        <v>57</v>
      </c>
      <c r="B14" s="129">
        <v>0.52300000000000002</v>
      </c>
      <c r="C14" s="58">
        <v>0.95</v>
      </c>
      <c r="D14" s="59">
        <v>2.1800000000000002</v>
      </c>
      <c r="E14" s="89" t="s">
        <v>216</v>
      </c>
      <c r="F14" s="115" t="s">
        <v>232</v>
      </c>
      <c r="G14" s="89" t="s">
        <v>212</v>
      </c>
    </row>
    <row r="15" spans="1:8" ht="15.75" customHeight="1" x14ac:dyDescent="0.35">
      <c r="A15" s="92"/>
      <c r="B15" s="129">
        <v>0.29799999999999999</v>
      </c>
      <c r="C15" s="58">
        <v>0.95</v>
      </c>
      <c r="D15" s="59">
        <v>2.1800000000000002</v>
      </c>
      <c r="E15" s="89" t="s">
        <v>216</v>
      </c>
      <c r="F15" s="115" t="s">
        <v>233</v>
      </c>
      <c r="G15" s="89"/>
      <c r="H15" s="99"/>
    </row>
    <row r="16" spans="1:8" ht="15.75" customHeight="1" x14ac:dyDescent="0.35">
      <c r="A16" s="57" t="s">
        <v>47</v>
      </c>
      <c r="B16" s="130"/>
      <c r="C16" s="58">
        <v>0.95</v>
      </c>
      <c r="D16" s="59">
        <v>0.05</v>
      </c>
      <c r="E16" s="89"/>
      <c r="F16" s="90"/>
      <c r="G16" s="89"/>
      <c r="H16" s="99"/>
    </row>
    <row r="17" spans="1:8" ht="16" customHeight="1" x14ac:dyDescent="0.25">
      <c r="A17" s="57" t="s">
        <v>172</v>
      </c>
      <c r="B17" s="130"/>
      <c r="C17" s="58">
        <v>0.95</v>
      </c>
      <c r="D17" s="117">
        <v>5</v>
      </c>
      <c r="E17" s="89"/>
      <c r="F17" s="90"/>
      <c r="G17" s="89"/>
    </row>
    <row r="18" spans="1:8" ht="15.75" customHeight="1" x14ac:dyDescent="0.25">
      <c r="A18" s="57" t="s">
        <v>199</v>
      </c>
      <c r="B18" s="130"/>
      <c r="C18" s="58">
        <v>0.95</v>
      </c>
      <c r="D18" s="117">
        <f>SUMPRODUCT(('IYCF cost'!$C$2:$E$6)*('IYCF packages'!$C$9:$E$13&lt;&gt;""))</f>
        <v>4.8250000000000002</v>
      </c>
      <c r="E18" s="89"/>
      <c r="F18" s="90"/>
      <c r="G18" s="89" t="s">
        <v>210</v>
      </c>
    </row>
    <row r="19" spans="1:8" ht="15.75" customHeight="1" x14ac:dyDescent="0.25">
      <c r="A19" s="57" t="s">
        <v>200</v>
      </c>
      <c r="B19" s="130"/>
      <c r="C19" s="58">
        <v>0.95</v>
      </c>
      <c r="D19" s="117">
        <f>SUMPRODUCT(('IYCF cost'!$C$2:$E$6)*('IYCF packages'!$C$16:$E$20&lt;&gt;""))</f>
        <v>0.25</v>
      </c>
      <c r="E19" s="89"/>
      <c r="F19" s="90"/>
      <c r="G19" s="89"/>
    </row>
    <row r="20" spans="1:8" ht="15.75" customHeight="1" x14ac:dyDescent="0.25">
      <c r="A20" s="57" t="s">
        <v>196</v>
      </c>
      <c r="B20" s="130"/>
      <c r="C20" s="58">
        <v>0.95</v>
      </c>
      <c r="D20" s="59">
        <v>8.84</v>
      </c>
      <c r="E20" s="89"/>
      <c r="F20" s="90"/>
      <c r="G20" s="89"/>
    </row>
    <row r="21" spans="1:8" ht="15.75" customHeight="1" x14ac:dyDescent="0.25">
      <c r="A21" s="57" t="s">
        <v>137</v>
      </c>
      <c r="B21" s="130"/>
      <c r="C21" s="58">
        <v>0.95</v>
      </c>
      <c r="D21" s="59">
        <v>50</v>
      </c>
      <c r="E21" s="90"/>
      <c r="F21" s="90"/>
      <c r="G21" s="89"/>
    </row>
    <row r="22" spans="1:8" ht="15.75" customHeight="1" x14ac:dyDescent="0.25">
      <c r="A22" s="57" t="s">
        <v>34</v>
      </c>
      <c r="B22" s="130"/>
      <c r="C22" s="58">
        <v>0.95</v>
      </c>
      <c r="D22" s="59">
        <v>2.61</v>
      </c>
      <c r="E22" s="90"/>
      <c r="F22" s="90"/>
      <c r="G22" s="89"/>
    </row>
    <row r="23" spans="1:8" ht="15.75" customHeight="1" x14ac:dyDescent="0.25">
      <c r="A23" s="57" t="s">
        <v>88</v>
      </c>
      <c r="B23" s="130"/>
      <c r="C23" s="58">
        <v>0.95</v>
      </c>
      <c r="D23" s="59">
        <v>1</v>
      </c>
      <c r="E23" s="90"/>
      <c r="F23" s="90"/>
      <c r="G23" s="89" t="s">
        <v>210</v>
      </c>
    </row>
    <row r="24" spans="1:8" ht="15.75" customHeight="1" x14ac:dyDescent="0.25">
      <c r="A24" s="57" t="s">
        <v>87</v>
      </c>
      <c r="B24" s="130"/>
      <c r="C24" s="58">
        <v>0.95</v>
      </c>
      <c r="D24" s="59">
        <v>1</v>
      </c>
      <c r="E24" s="90"/>
      <c r="F24" s="90"/>
      <c r="G24" s="89" t="s">
        <v>210</v>
      </c>
    </row>
    <row r="25" spans="1:8" ht="15.75" customHeight="1" x14ac:dyDescent="0.25">
      <c r="A25" s="57" t="s">
        <v>138</v>
      </c>
      <c r="B25" s="130"/>
      <c r="C25" s="58">
        <v>0.95</v>
      </c>
      <c r="D25" s="59">
        <v>1</v>
      </c>
      <c r="E25" s="90"/>
      <c r="F25" s="90"/>
      <c r="G25" s="89" t="s">
        <v>210</v>
      </c>
    </row>
    <row r="26" spans="1:8" ht="15.75" customHeight="1" x14ac:dyDescent="0.3">
      <c r="A26" s="92" t="s">
        <v>59</v>
      </c>
      <c r="B26" s="130"/>
      <c r="C26" s="58">
        <v>0.95</v>
      </c>
      <c r="D26" s="59">
        <v>3.54</v>
      </c>
      <c r="E26" s="89"/>
      <c r="F26" s="90" t="s">
        <v>247</v>
      </c>
      <c r="G26" s="89"/>
    </row>
    <row r="27" spans="1:8" ht="15.75" customHeight="1" x14ac:dyDescent="0.3">
      <c r="A27" s="92" t="s">
        <v>84</v>
      </c>
      <c r="B27" s="129">
        <v>0.44799999999999995</v>
      </c>
      <c r="C27" s="58">
        <v>0.95</v>
      </c>
      <c r="D27" s="59">
        <v>1</v>
      </c>
      <c r="E27" s="89" t="s">
        <v>216</v>
      </c>
      <c r="F27" s="90" t="s">
        <v>234</v>
      </c>
      <c r="G27" s="89"/>
    </row>
    <row r="28" spans="1:8" ht="15.75" customHeight="1" x14ac:dyDescent="0.25">
      <c r="A28" s="57" t="s">
        <v>58</v>
      </c>
      <c r="B28" s="130"/>
      <c r="C28" s="58">
        <v>0.95</v>
      </c>
      <c r="D28" s="59">
        <v>40.25</v>
      </c>
      <c r="E28" s="89"/>
      <c r="F28" s="90"/>
      <c r="G28" s="89"/>
    </row>
    <row r="29" spans="1:8" ht="15.75" customHeight="1" x14ac:dyDescent="0.25">
      <c r="A29" s="57" t="s">
        <v>67</v>
      </c>
      <c r="B29" s="130"/>
      <c r="C29" s="58">
        <v>0.95</v>
      </c>
      <c r="D29" s="118">
        <f>162*AVERAGE('Incidence of conditions'!B4:F4) + 0*AVERAGE('Incidence of conditions'!B3:F3)*IF(ISBLANK(manage_mam), 0, 1)</f>
        <v>3.7790148239999999</v>
      </c>
      <c r="E29" s="89"/>
      <c r="F29" s="90"/>
      <c r="G29" s="89"/>
    </row>
    <row r="30" spans="1:8" ht="15.75" customHeight="1" x14ac:dyDescent="0.35">
      <c r="A30" s="92" t="s">
        <v>28</v>
      </c>
      <c r="B30" s="129">
        <v>0.79599999999999993</v>
      </c>
      <c r="C30" s="58">
        <v>0.95</v>
      </c>
      <c r="D30" s="59">
        <v>0.55000000000000004</v>
      </c>
      <c r="E30" s="89" t="s">
        <v>216</v>
      </c>
      <c r="F30" s="115" t="s">
        <v>235</v>
      </c>
      <c r="G30" s="89"/>
      <c r="H30" s="99"/>
    </row>
    <row r="31" spans="1:8" ht="15.75" customHeight="1" x14ac:dyDescent="0.35">
      <c r="A31" s="92"/>
      <c r="B31" s="129">
        <v>0.38400000000000001</v>
      </c>
      <c r="C31" s="58">
        <v>0.95</v>
      </c>
      <c r="D31" s="59">
        <v>0.55000000000000004</v>
      </c>
      <c r="E31" s="89" t="s">
        <v>216</v>
      </c>
      <c r="F31" s="115" t="s">
        <v>236</v>
      </c>
      <c r="G31" s="89"/>
      <c r="H31" s="99"/>
    </row>
    <row r="32" spans="1:8" ht="15.75" customHeight="1" x14ac:dyDescent="0.25">
      <c r="A32" s="57" t="s">
        <v>83</v>
      </c>
      <c r="B32" s="130"/>
      <c r="C32" s="58">
        <v>0.95</v>
      </c>
      <c r="D32" s="59">
        <v>1</v>
      </c>
      <c r="E32" s="89"/>
      <c r="F32" s="90"/>
      <c r="G32" s="89" t="s">
        <v>210</v>
      </c>
    </row>
    <row r="33" spans="1:7" ht="15.75" customHeight="1" x14ac:dyDescent="0.25">
      <c r="A33" s="57" t="s">
        <v>82</v>
      </c>
      <c r="B33" s="130"/>
      <c r="C33" s="58">
        <v>0.95</v>
      </c>
      <c r="D33" s="59">
        <v>2.8</v>
      </c>
      <c r="E33" s="89"/>
      <c r="F33" s="90"/>
      <c r="G33" s="89"/>
    </row>
    <row r="34" spans="1:7" ht="15.75" customHeight="1" x14ac:dyDescent="0.25">
      <c r="A34" s="57" t="s">
        <v>81</v>
      </c>
      <c r="B34" s="130"/>
      <c r="C34" s="58">
        <v>0.95</v>
      </c>
      <c r="D34" s="59">
        <v>50.26</v>
      </c>
      <c r="E34" s="89"/>
      <c r="F34" s="90"/>
      <c r="G34" s="89"/>
    </row>
    <row r="35" spans="1:7" ht="15.75" customHeight="1" x14ac:dyDescent="0.25">
      <c r="A35" s="57" t="s">
        <v>79</v>
      </c>
      <c r="B35" s="130"/>
      <c r="C35" s="58">
        <v>0.95</v>
      </c>
      <c r="D35" s="59">
        <v>36.1</v>
      </c>
      <c r="E35" s="89"/>
      <c r="F35" s="90"/>
      <c r="G35" s="89"/>
    </row>
    <row r="36" spans="1:7" s="43" customFormat="1" ht="15.75" customHeight="1" x14ac:dyDescent="0.25">
      <c r="A36" s="57" t="s">
        <v>80</v>
      </c>
      <c r="B36" s="130"/>
      <c r="C36" s="58">
        <v>0.95</v>
      </c>
      <c r="D36" s="59">
        <v>231.85</v>
      </c>
      <c r="E36" s="89"/>
      <c r="F36" s="90"/>
      <c r="G36" s="89"/>
    </row>
    <row r="37" spans="1:7" ht="15.75" customHeight="1" x14ac:dyDescent="0.3">
      <c r="A37" s="92" t="s">
        <v>85</v>
      </c>
      <c r="B37" s="130">
        <v>2.5899999999999999E-2</v>
      </c>
      <c r="C37" s="58">
        <v>0.95</v>
      </c>
      <c r="D37" s="59">
        <v>0.92</v>
      </c>
      <c r="E37" s="89" t="s">
        <v>216</v>
      </c>
      <c r="F37" s="90"/>
      <c r="G37" s="89"/>
    </row>
    <row r="38" spans="1:7" ht="15.75" customHeight="1" x14ac:dyDescent="0.25">
      <c r="A38" s="57" t="s">
        <v>60</v>
      </c>
      <c r="B38" s="157"/>
      <c r="C38" s="58">
        <v>0.95</v>
      </c>
      <c r="D38" s="59">
        <v>4.6100000000000003</v>
      </c>
      <c r="E38" s="89"/>
      <c r="F38" s="90"/>
      <c r="G38" s="89" t="s">
        <v>212</v>
      </c>
    </row>
    <row r="39" spans="1:7" ht="15.75" customHeight="1" x14ac:dyDescent="0.25">
      <c r="G39" s="43"/>
    </row>
  </sheetData>
  <sortState ref="A2:D38">
    <sortCondition ref="A2:A38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45</vt:i4>
      </vt:variant>
    </vt:vector>
  </HeadingPairs>
  <TitlesOfParts>
    <vt:vector size="60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Avril Dawn Kaplan</cp:lastModifiedBy>
  <dcterms:created xsi:type="dcterms:W3CDTF">2017-08-01T10:42:13Z</dcterms:created>
  <dcterms:modified xsi:type="dcterms:W3CDTF">2018-11-06T13:29:21Z</dcterms:modified>
</cp:coreProperties>
</file>