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aplan1_worldbank_org/Documents/DRC/Provincial projections/"/>
    </mc:Choice>
  </mc:AlternateContent>
  <xr:revisionPtr revIDLastSave="0" documentId="10_ncr:100000_{BFC753E4-AEBF-4E00-B91E-A4F256D0F77F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H2" i="2" l="1"/>
  <c r="J2" i="2" s="1"/>
  <c r="I2" i="2"/>
  <c r="H3" i="2"/>
  <c r="I3" i="2"/>
  <c r="J3" i="2" s="1"/>
  <c r="H4" i="2"/>
  <c r="I4" i="2"/>
  <c r="J4" i="2" s="1"/>
  <c r="H5" i="2"/>
  <c r="J5" i="2" s="1"/>
  <c r="I5" i="2"/>
  <c r="H6" i="2"/>
  <c r="I6" i="2"/>
  <c r="J6" i="2" s="1"/>
  <c r="H7" i="2"/>
  <c r="J7" i="2" s="1"/>
  <c r="I7" i="2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8" i="2"/>
  <c r="I9" i="2"/>
  <c r="I10" i="2"/>
  <c r="I11" i="2"/>
  <c r="I12" i="2"/>
  <c r="I13" i="2"/>
  <c r="I14" i="2"/>
  <c r="I15" i="2"/>
  <c r="H8" i="2" l="1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J13" i="2" l="1"/>
  <c r="J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Avril Dawn Kaplan</author>
  </authors>
  <commentList>
    <comment ref="E11" authorId="0" shapeId="0" xr:uid="{4956A44D-B2B5-46C0-B2E2-525243D4B98C}">
      <text>
        <r>
          <rPr>
            <b/>
            <sz val="9"/>
            <color indexed="81"/>
            <rFont val="Tahoma"/>
            <charset val="1"/>
          </rPr>
          <t>Avril Dawn Kaplan:</t>
        </r>
        <r>
          <rPr>
            <sz val="9"/>
            <color indexed="81"/>
            <rFont val="Tahoma"/>
            <charset val="1"/>
          </rPr>
          <t xml:space="preserve">
Very high jump here…. May not have enough children in this age bracket to be reliable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<sst xmlns="http://schemas.openxmlformats.org/spreadsheetml/2006/main" count="434" uniqueCount="259">
  <si>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</si>
  <si>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</si>
  <si>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</si>
  <si>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</si>
  <si>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</si>
  <si>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</si>
  <si>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</si>
  <si>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</si>
  <si>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</si>
  <si>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</si>
  <si>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</si>
  <si>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</si>
  <si>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</si>
  <si>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</si>
  <si>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</si>
  <si>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</si>
  <si>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</si>
  <si>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</si>
  <si>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</si>
  <si>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</si>
  <si>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</si>
  <si>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</si>
  <si>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</si>
  <si>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</si>
  <si>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</si>
  <si>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</si>
  <si>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</si>
  <si>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</si>
  <si>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</si>
  <si>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</si>
  <si>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</si>
  <si>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</si>
  <si>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</si>
  <si>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</si>
  <si>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</si>
  <si>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</si>
  <si>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</si>
  <si>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</si>
  <si>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</si>
  <si>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</si>
  <si>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</si>
  <si>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</si>
  <si>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</si>
  <si>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</si>
  <si>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</si>
  <si>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</si>
  <si>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</si>
  <si>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</si>
  <si>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</si>
  <si>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</si>
  <si>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</si>
  <si>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</si>
  <si>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</si>
  <si>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</si>
  <si>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</si>
  <si>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</si>
  <si>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</si>
  <si>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</si>
  <si>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</si>
  <si>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</si>
  <si>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</si>
  <si>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</si>
  <si>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</si>
  <si>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</si>
  <si>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</si>
  <si>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</si>
  <si>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</si>
  <si>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</si>
  <si>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</si>
  <si>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</si>
  <si>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</si>
  <si>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</si>
  <si>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</si>
  <si>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</si>
  <si>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</si>
  <si>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</si>
  <si>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</si>
  <si>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</si>
  <si>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</si>
  <si>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</si>
  <si>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</si>
  <si>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</si>
  <si>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</si>
  <si>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</si>
  <si>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</si>
  <si>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</si>
  <si>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</si>
  <si>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</si>
  <si>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</si>
  <si>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</si>
  <si>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</si>
  <si>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</si>
  <si>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</si>
  <si>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</si>
  <si>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</si>
  <si>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</si>
  <si>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</si>
  <si>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</si>
  <si>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</si>
  <si>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</si>
  <si>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</si>
  <si>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</si>
  <si>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</si>
  <si>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</si>
  <si>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</si>
  <si>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</si>
  <si>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</si>
  <si>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</si>
  <si>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</si>
  <si>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</si>
  <si>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</si>
  <si>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</si>
  <si>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</si>
  <si>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</si>
  <si>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</si>
  <si>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</si>
  <si>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</si>
  <si>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</si>
  <si>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</si>
  <si>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</si>
  <si>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</si>
  <si>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</si>
  <si>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</si>
  <si>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</si>
  <si>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</si>
  <si>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</si>
  <si>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</si>
  <si>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</si>
  <si>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</si>
  <si>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</si>
  <si>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</si>
  <si>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</si>
  <si>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</si>
  <si>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</si>
  <si>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</si>
  <si>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</si>
  <si>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</si>
  <si>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</si>
  <si>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</si>
  <si>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</si>
  <si>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</si>
  <si>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</si>
  <si>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</si>
  <si>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</si>
  <si>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</si>
  <si>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</si>
  <si>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</si>
  <si>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</si>
  <si>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</si>
  <si>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</si>
  <si>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</si>
  <si>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</si>
  <si>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</si>
  <si>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</si>
  <si>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</si>
  <si>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</si>
  <si>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</si>
  <si>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</si>
  <si>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</si>
  <si>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</si>
  <si>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</si>
  <si>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</si>
  <si>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</si>
  <si>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</si>
  <si>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</si>
  <si>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</si>
  <si>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</si>
  <si>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</si>
  <si>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</si>
  <si>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</si>
  <si>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</si>
  <si>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</si>
  <si>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</si>
  <si>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</si>
  <si>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</si>
  <si>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</si>
  <si>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</si>
  <si>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</si>
  <si>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</si>
  <si>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</si>
  <si>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</si>
  <si>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</si>
  <si>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</si>
  <si>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</si>
  <si>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</si>
  <si>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</si>
  <si>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</si>
  <si>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</si>
  <si>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</si>
  <si>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</si>
  <si>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</si>
  <si>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</si>
  <si>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</si>
  <si>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</si>
  <si>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</si>
  <si>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</si>
  <si>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</si>
  <si>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</si>
  <si>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</si>
  <si>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</si>
  <si>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</si>
  <si>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</si>
  <si>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</si>
  <si>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</si>
  <si>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</si>
  <si>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</si>
  <si>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</si>
  <si>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</si>
  <si>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</si>
  <si>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</si>
  <si>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</si>
  <si>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</si>
  <si>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</si>
  <si>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Mai-Ndombe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</si>
  <si>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</si>
  <si>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</si>
  <si>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</si>
  <si>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</si>
  <si>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</si>
  <si>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</si>
  <si>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</si>
  <si>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</si>
  <si>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</si>
  <si>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</si>
  <si>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</si>
  <si>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</si>
  <si>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</si>
  <si>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</si>
  <si>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</si>
  <si>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</si>
  <si>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</si>
  <si>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</si>
  <si>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</si>
  <si>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</si>
  <si>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</si>
  <si>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</si>
  <si>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</si>
  <si>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</si>
  <si>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</si>
  <si>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</si>
  <si>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</si>
  <si>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</si>
  <si>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</si>
  <si>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</si>
  <si>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</si>
  <si>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</si>
  <si>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</si>
  <si>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</si>
  <si>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</si>
  <si>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</si>
  <si>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</si>
  <si>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</si>
  <si>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</si>
  <si>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</si>
  <si>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</si>
  <si>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</si>
  <si>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</si>
  <si>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</si>
  <si>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Mai-Ndombe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</si>
</sst>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5" fillId="2" borderId="1" xfId="725" applyFont="1" applyFill="1" applyBorder="1" applyAlignment="1"/>
    <xf numFmtId="3" fontId="5" fillId="2" borderId="1" xfId="0" applyNumberFormat="1" applyFont="1" applyFill="1" applyBorder="1" applyAlignment="1"/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20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20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F1" sqref="F1:AF1048576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5">
        <v>0.45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0.2974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0">
        <v>0.31130000000000002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0.70340000000000003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0.61119999999999997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0.40200000000000002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0.214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4"/>
      <c r="E17" s="112"/>
    </row>
    <row r="18" spans="1:8" ht="15" customHeight="1" x14ac:dyDescent="0.25">
      <c r="B18" s="12" t="s">
        <v>96</v>
      </c>
      <c r="C18" s="130"/>
      <c r="D18" s="144"/>
      <c r="E18" s="112"/>
    </row>
    <row r="19" spans="1:8" ht="15" customHeight="1" x14ac:dyDescent="0.25">
      <c r="B19" s="12" t="s">
        <v>97</v>
      </c>
      <c r="C19" s="130"/>
      <c r="D19" s="144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9.9000000000000005E-2</v>
      </c>
      <c r="D23" s="145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0.63480000000000003</v>
      </c>
      <c r="D24" s="145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0.23469999999999999</v>
      </c>
      <c r="D25" s="145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3.1600000000000003E-2</v>
      </c>
      <c r="D26" s="145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2">
        <v>0.1832</v>
      </c>
      <c r="D29" s="145" t="s">
        <v>216</v>
      </c>
      <c r="E29" s="140"/>
      <c r="F29" s="98"/>
    </row>
    <row r="30" spans="1:8" ht="14.25" customHeight="1" x14ac:dyDescent="0.35">
      <c r="A30" s="107"/>
      <c r="B30" s="34" t="s">
        <v>76</v>
      </c>
      <c r="C30" s="132">
        <v>4.6899999999999997E-2</v>
      </c>
      <c r="D30" s="145"/>
      <c r="E30" s="141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2">
        <v>9.8500000000000004E-2</v>
      </c>
      <c r="D31" s="145"/>
      <c r="E31" s="141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2">
        <v>0.67149999999999999</v>
      </c>
      <c r="D32" s="145"/>
      <c r="E32" s="142"/>
      <c r="F32" s="98"/>
    </row>
    <row r="33" spans="1:7" ht="13" x14ac:dyDescent="0.25">
      <c r="B33" s="36" t="s">
        <v>130</v>
      </c>
      <c r="C33" s="134"/>
    </row>
    <row r="34" spans="1:7" ht="15" customHeight="1" x14ac:dyDescent="0.25">
      <c r="C34" s="134"/>
    </row>
    <row r="35" spans="1:7" ht="15" customHeight="1" x14ac:dyDescent="0.3">
      <c r="A35" s="4" t="s">
        <v>136</v>
      </c>
      <c r="C35" s="134"/>
    </row>
    <row r="36" spans="1:7" ht="15" customHeight="1" x14ac:dyDescent="0.25">
      <c r="A36" s="15" t="s">
        <v>74</v>
      </c>
      <c r="B36" s="9"/>
      <c r="C36" s="134"/>
      <c r="D36"/>
    </row>
    <row r="37" spans="1:7" ht="15" customHeight="1" x14ac:dyDescent="0.3">
      <c r="A37" s="107"/>
      <c r="B37" s="49" t="s">
        <v>92</v>
      </c>
      <c r="C37" s="133">
        <v>22.895800000000001</v>
      </c>
      <c r="D37" s="145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3">
        <v>35.678100000000001</v>
      </c>
      <c r="D38" s="145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3">
        <v>74.760599999999997</v>
      </c>
      <c r="D39" s="145"/>
      <c r="E39" s="125"/>
      <c r="F39" s="100"/>
      <c r="G39" s="119"/>
    </row>
    <row r="40" spans="1:7" ht="15" customHeight="1" x14ac:dyDescent="0.35">
      <c r="B40" s="19" t="s">
        <v>237</v>
      </c>
      <c r="C40" s="131">
        <v>846</v>
      </c>
      <c r="D40" s="145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4"/>
      <c r="D43" s="85"/>
      <c r="G43" s="123"/>
    </row>
    <row r="44" spans="1:7" ht="15.75" customHeight="1" x14ac:dyDescent="0.25">
      <c r="A44" s="15" t="s">
        <v>134</v>
      </c>
      <c r="C44" s="134"/>
      <c r="D44"/>
    </row>
    <row r="45" spans="1:7" ht="15.75" customHeight="1" x14ac:dyDescent="0.25">
      <c r="B45" s="19" t="s">
        <v>9</v>
      </c>
      <c r="C45" s="130">
        <v>1.9099999999999999E-2</v>
      </c>
      <c r="D45" s="146" t="s">
        <v>241</v>
      </c>
      <c r="E45" s="143" t="s">
        <v>256</v>
      </c>
    </row>
    <row r="46" spans="1:7" ht="15.75" customHeight="1" x14ac:dyDescent="0.25">
      <c r="B46" s="19" t="s">
        <v>11</v>
      </c>
      <c r="C46" s="130">
        <v>9.98E-2</v>
      </c>
      <c r="D46" s="146"/>
      <c r="E46" s="143"/>
    </row>
    <row r="47" spans="1:7" ht="15.75" customHeight="1" x14ac:dyDescent="0.25">
      <c r="B47" s="19" t="s">
        <v>12</v>
      </c>
      <c r="C47" s="130">
        <v>0.2</v>
      </c>
      <c r="D47" s="146"/>
      <c r="E47" s="143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6" t="s">
        <v>242</v>
      </c>
      <c r="E51" s="143" t="s">
        <v>257</v>
      </c>
    </row>
    <row r="52" spans="1:7" ht="15" customHeight="1" x14ac:dyDescent="0.25">
      <c r="B52" s="19" t="s">
        <v>126</v>
      </c>
      <c r="C52" s="7">
        <v>3.3</v>
      </c>
      <c r="D52" s="146"/>
      <c r="E52" s="143"/>
    </row>
    <row r="53" spans="1:7" ht="15.75" customHeight="1" x14ac:dyDescent="0.25">
      <c r="B53" s="19" t="s">
        <v>127</v>
      </c>
      <c r="C53" s="7">
        <v>3.3</v>
      </c>
      <c r="D53" s="146"/>
      <c r="E53" s="143"/>
    </row>
    <row r="54" spans="1:7" ht="15.75" customHeight="1" x14ac:dyDescent="0.25">
      <c r="B54" s="19" t="s">
        <v>128</v>
      </c>
      <c r="C54" s="7">
        <v>3.3</v>
      </c>
      <c r="D54" s="146"/>
      <c r="E54" s="143"/>
    </row>
    <row r="55" spans="1:7" ht="15.75" customHeight="1" x14ac:dyDescent="0.25">
      <c r="B55" s="19" t="s">
        <v>129</v>
      </c>
      <c r="C55" s="7">
        <v>3.3</v>
      </c>
      <c r="D55" s="146"/>
      <c r="E55" s="143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0.10390000000000001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0.12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1.2E-2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8.2000000000000003E-2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0.20169999999999999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0.14940000000000001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9.2299999999999993E-2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0.12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0.91980000000000006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4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4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4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4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4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0.85558668000000004</v>
      </c>
      <c r="C3" s="30">
        <f>frac_mam_1_5months * 2.6</f>
        <v>0.85558668000000004</v>
      </c>
      <c r="D3" s="30">
        <f>frac_mam_6_11months * 2.6</f>
        <v>0.85558668000000004</v>
      </c>
      <c r="E3" s="30">
        <f>frac_mam_12_23months * 2.6</f>
        <v>8.5010379999999997E-2</v>
      </c>
      <c r="F3" s="30">
        <f>frac_mam_24_59months * 2.6</f>
        <v>6.8892980000000006E-2</v>
      </c>
    </row>
    <row r="4" spans="1:6" ht="15.75" customHeight="1" x14ac:dyDescent="0.25">
      <c r="A4" s="3" t="s">
        <v>66</v>
      </c>
      <c r="B4" s="30">
        <f>frac_sam_1month * 2.6</f>
        <v>0.20384052000000003</v>
      </c>
      <c r="C4" s="30">
        <f>frac_sam_1_5months * 2.6</f>
        <v>0.20384052000000003</v>
      </c>
      <c r="D4" s="30">
        <f>frac_sam_6_11months * 2.6</f>
        <v>0.57578170000000006</v>
      </c>
      <c r="E4" s="30">
        <f>frac_sam_12_23months * 2.6</f>
        <v>0.1769144</v>
      </c>
      <c r="F4" s="30">
        <f>frac_sam_24_59months * 2.6</f>
        <v>7.357298000000001E-2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0.45</v>
      </c>
      <c r="E2" s="40">
        <f>food_insecure</f>
        <v>0.45</v>
      </c>
      <c r="F2" s="40">
        <f>food_insecure</f>
        <v>0.45</v>
      </c>
      <c r="G2" s="40">
        <f>food_insecure</f>
        <v>0.45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0.45</v>
      </c>
      <c r="F5" s="40">
        <f>food_insecure</f>
        <v>0.45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0.45</v>
      </c>
      <c r="F8" s="40">
        <f>food_insecure</f>
        <v>0.45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0.40200000000000002</v>
      </c>
      <c r="E9" s="40">
        <f>IF(ISBLANK(comm_deliv), frac_children_health_facility,1)</f>
        <v>0.40200000000000002</v>
      </c>
      <c r="F9" s="40">
        <f>IF(ISBLANK(comm_deliv), frac_children_health_facility,1)</f>
        <v>0.40200000000000002</v>
      </c>
      <c r="G9" s="40">
        <f>IF(ISBLANK(comm_deliv), frac_children_health_facility,1)</f>
        <v>0.40200000000000002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0.45</v>
      </c>
      <c r="I14" s="40">
        <f>food_insecure</f>
        <v>0.45</v>
      </c>
      <c r="J14" s="40">
        <f>food_insecure</f>
        <v>0.45</v>
      </c>
      <c r="K14" s="40">
        <f>food_insecure</f>
        <v>0.45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0.61119999999999997</v>
      </c>
      <c r="I17" s="40">
        <f>frac_PW_health_facility</f>
        <v>0.61119999999999997</v>
      </c>
      <c r="J17" s="40">
        <f>frac_PW_health_facility</f>
        <v>0.61119999999999997</v>
      </c>
      <c r="K17" s="40">
        <f>frac_PW_health_facility</f>
        <v>0.61119999999999997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0.2974</v>
      </c>
      <c r="I18" s="40">
        <f>frac_malaria_risk</f>
        <v>0.2974</v>
      </c>
      <c r="J18" s="40">
        <f>frac_malaria_risk</f>
        <v>0.2974</v>
      </c>
      <c r="K18" s="40">
        <f>frac_malaria_risk</f>
        <v>0.2974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0.17336269999999998</v>
      </c>
      <c r="M24" s="40">
        <f>(1-food_insecure)*(0.49)+food_insecure*(0.7)</f>
        <v>0.58450000000000002</v>
      </c>
      <c r="N24" s="40">
        <f>(1-food_insecure)*(0.49)+food_insecure*(0.7)</f>
        <v>0.58450000000000002</v>
      </c>
      <c r="O24" s="40">
        <f>(1-food_insecure)*(0.49)+food_insecure*(0.7)</f>
        <v>0.58450000000000002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7.4298299999999998E-2</v>
      </c>
      <c r="M25" s="40">
        <f>(1-food_insecure)*(0.21)+food_insecure*(0.3)</f>
        <v>0.2505</v>
      </c>
      <c r="N25" s="40">
        <f>(1-food_insecure)*(0.21)+food_insecure*(0.3)</f>
        <v>0.2505</v>
      </c>
      <c r="O25" s="40">
        <f>(1-food_insecure)*(0.21)+food_insecure*(0.3)</f>
        <v>0.2505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4.8938999999999996E-2</v>
      </c>
      <c r="M26" s="40">
        <f>(1-food_insecure)*(0.3)</f>
        <v>0.16500000000000001</v>
      </c>
      <c r="N26" s="40">
        <f>(1-food_insecure)*(0.3)</f>
        <v>0.16500000000000001</v>
      </c>
      <c r="O26" s="40">
        <f>(1-food_insecure)*(0.3)</f>
        <v>0.16500000000000001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0.70340000000000003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0.2974</v>
      </c>
      <c r="D33" s="40">
        <f t="shared" si="3"/>
        <v>0.2974</v>
      </c>
      <c r="E33" s="40">
        <f t="shared" si="3"/>
        <v>0.2974</v>
      </c>
      <c r="F33" s="40">
        <f t="shared" si="3"/>
        <v>0.2974</v>
      </c>
      <c r="G33" s="40">
        <f t="shared" si="3"/>
        <v>0.2974</v>
      </c>
      <c r="H33" s="40">
        <f t="shared" si="3"/>
        <v>0.2974</v>
      </c>
      <c r="I33" s="40">
        <f t="shared" si="3"/>
        <v>0.2974</v>
      </c>
      <c r="J33" s="40">
        <f t="shared" si="3"/>
        <v>0.2974</v>
      </c>
      <c r="K33" s="40">
        <f t="shared" si="3"/>
        <v>0.2974</v>
      </c>
      <c r="L33" s="40">
        <f t="shared" si="3"/>
        <v>0.2974</v>
      </c>
      <c r="M33" s="40">
        <f t="shared" si="3"/>
        <v>0.2974</v>
      </c>
      <c r="N33" s="40">
        <f t="shared" si="3"/>
        <v>0.2974</v>
      </c>
      <c r="O33" s="40">
        <f t="shared" si="3"/>
        <v>0.2974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activeCell="B16" sqref="B16:B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76672.799999999988</v>
      </c>
      <c r="C2" s="81">
        <v>359000</v>
      </c>
      <c r="D2" s="81">
        <v>94000</v>
      </c>
      <c r="E2" s="81">
        <v>148000</v>
      </c>
      <c r="F2" s="81">
        <v>104000</v>
      </c>
      <c r="G2" s="81">
        <v>62000</v>
      </c>
      <c r="H2" s="25">
        <f t="shared" ref="H2:H40" si="0">D2+E2+F2+G2</f>
        <v>408000</v>
      </c>
      <c r="I2" s="25">
        <f>(B2 + stillbirth*B2/(1000-stillbirth))/(1-abortion)</f>
        <v>90600.32606418409</v>
      </c>
      <c r="J2" s="25">
        <f>H2-I2</f>
        <v>317399.67393581592</v>
      </c>
    </row>
    <row r="3" spans="1:10" ht="15.75" customHeight="1" x14ac:dyDescent="0.25">
      <c r="A3" s="9">
        <v>2016</v>
      </c>
      <c r="B3" s="80">
        <v>78702.56742251078</v>
      </c>
      <c r="C3" s="81">
        <v>368013.33085613389</v>
      </c>
      <c r="D3" s="81">
        <v>97630.031081521855</v>
      </c>
      <c r="E3" s="81">
        <v>152839.9509565935</v>
      </c>
      <c r="F3" s="81">
        <v>107532.95438298516</v>
      </c>
      <c r="G3" s="81">
        <v>63938.304544742576</v>
      </c>
      <c r="H3" s="25">
        <f t="shared" si="0"/>
        <v>421941.24096584308</v>
      </c>
      <c r="I3" s="25">
        <f t="shared" ref="I3:I40" si="1">(B3 + stillbirth*B3/(1000-stillbirth))/(1-abortion)</f>
        <v>92998.798407882699</v>
      </c>
      <c r="J3" s="25">
        <f t="shared" ref="J3:J15" si="2">H3-I3</f>
        <v>328942.4425579604</v>
      </c>
    </row>
    <row r="4" spans="1:10" ht="15.75" customHeight="1" x14ac:dyDescent="0.25">
      <c r="A4" s="9">
        <v>2017</v>
      </c>
      <c r="B4" s="80">
        <v>80786.069100057066</v>
      </c>
      <c r="C4" s="81">
        <v>377252.95734770549</v>
      </c>
      <c r="D4" s="81">
        <v>101400.24435083961</v>
      </c>
      <c r="E4" s="81">
        <v>157838.17978658047</v>
      </c>
      <c r="F4" s="81">
        <v>111185.92575320353</v>
      </c>
      <c r="G4" s="81">
        <v>65937.206258971753</v>
      </c>
      <c r="H4" s="25">
        <f t="shared" si="0"/>
        <v>436361.55614959536</v>
      </c>
      <c r="I4" s="25">
        <f t="shared" si="1"/>
        <v>95460.765772332263</v>
      </c>
      <c r="J4" s="25">
        <f t="shared" si="2"/>
        <v>340900.7903772631</v>
      </c>
    </row>
    <row r="5" spans="1:10" ht="15.75" customHeight="1" x14ac:dyDescent="0.25">
      <c r="A5" s="9">
        <v>2018</v>
      </c>
      <c r="B5" s="80">
        <v>82924.727545451009</v>
      </c>
      <c r="C5" s="81">
        <v>386724.56102745439</v>
      </c>
      <c r="D5" s="81">
        <v>105316.05327283384</v>
      </c>
      <c r="E5" s="81">
        <v>162999.86255174965</v>
      </c>
      <c r="F5" s="81">
        <v>114962.99117355009</v>
      </c>
      <c r="G5" s="81">
        <v>67998.599590574871</v>
      </c>
      <c r="H5" s="25">
        <f t="shared" si="0"/>
        <v>451277.50658870843</v>
      </c>
      <c r="I5" s="25">
        <f t="shared" si="1"/>
        <v>97987.909068163543</v>
      </c>
      <c r="J5" s="25">
        <f t="shared" si="2"/>
        <v>353289.59752054489</v>
      </c>
    </row>
    <row r="6" spans="1:10" ht="15.75" customHeight="1" x14ac:dyDescent="0.25">
      <c r="A6" s="9">
        <v>2019</v>
      </c>
      <c r="B6" s="80">
        <v>85002.504614694495</v>
      </c>
      <c r="C6" s="81">
        <v>396306.00041180843</v>
      </c>
      <c r="D6" s="81">
        <v>109408.9979414205</v>
      </c>
      <c r="E6" s="81">
        <v>168419.50153273996</v>
      </c>
      <c r="F6" s="81">
        <v>118895.39476101706</v>
      </c>
      <c r="G6" s="81">
        <v>70234.625073020667</v>
      </c>
      <c r="H6" s="25">
        <f t="shared" si="0"/>
        <v>466958.51930819824</v>
      </c>
      <c r="I6" s="25">
        <f t="shared" si="1"/>
        <v>100443.1119557866</v>
      </c>
      <c r="J6" s="25">
        <f t="shared" si="2"/>
        <v>366515.40735241165</v>
      </c>
    </row>
    <row r="7" spans="1:10" ht="15.75" customHeight="1" x14ac:dyDescent="0.25">
      <c r="A7" s="9">
        <v>2020</v>
      </c>
      <c r="B7" s="80">
        <v>87043.122214510688</v>
      </c>
      <c r="C7" s="81">
        <v>406051.29179358133</v>
      </c>
      <c r="D7" s="81">
        <v>113666.70025459304</v>
      </c>
      <c r="E7" s="81">
        <v>174147.57020384594</v>
      </c>
      <c r="F7" s="81">
        <v>122959.75769317693</v>
      </c>
      <c r="G7" s="81">
        <v>72825.694177105455</v>
      </c>
      <c r="H7" s="25">
        <f t="shared" si="0"/>
        <v>483599.72232872137</v>
      </c>
      <c r="I7" s="25">
        <f t="shared" si="1"/>
        <v>102854.40539903713</v>
      </c>
      <c r="J7" s="25">
        <f t="shared" si="2"/>
        <v>380745.31692968425</v>
      </c>
    </row>
    <row r="8" spans="1:10" ht="15.75" customHeight="1" x14ac:dyDescent="0.25">
      <c r="A8" s="9">
        <v>2021</v>
      </c>
      <c r="B8" s="80">
        <v>89245.257377588219</v>
      </c>
      <c r="C8" s="81">
        <v>415820.74496965995</v>
      </c>
      <c r="D8" s="81">
        <v>118065.06060706964</v>
      </c>
      <c r="E8" s="81">
        <v>180217.05516637818</v>
      </c>
      <c r="F8" s="81">
        <v>127146.48155263223</v>
      </c>
      <c r="G8" s="81">
        <v>75305.308107027158</v>
      </c>
      <c r="H8" s="25">
        <f t="shared" si="0"/>
        <v>500733.90543310717</v>
      </c>
      <c r="I8" s="25">
        <f t="shared" si="1"/>
        <v>105456.55588541861</v>
      </c>
      <c r="J8" s="25">
        <f t="shared" si="2"/>
        <v>395277.34954768856</v>
      </c>
    </row>
    <row r="9" spans="1:10" ht="15.75" customHeight="1" x14ac:dyDescent="0.25">
      <c r="A9" s="9">
        <v>2022</v>
      </c>
      <c r="B9" s="80">
        <v>91420.493159729129</v>
      </c>
      <c r="C9" s="81">
        <v>426320.17798457696</v>
      </c>
      <c r="D9" s="81">
        <v>122591.55498601458</v>
      </c>
      <c r="E9" s="81">
        <v>186628.40352788454</v>
      </c>
      <c r="F9" s="81">
        <v>131452.49283040006</v>
      </c>
      <c r="G9" s="81">
        <v>77896.223388907863</v>
      </c>
      <c r="H9" s="25">
        <f t="shared" si="0"/>
        <v>518568.67473320704</v>
      </c>
      <c r="I9" s="25">
        <f t="shared" si="1"/>
        <v>108026.92074920924</v>
      </c>
      <c r="J9" s="25">
        <f t="shared" si="2"/>
        <v>410541.7539839978</v>
      </c>
    </row>
    <row r="10" spans="1:10" ht="15.75" customHeight="1" x14ac:dyDescent="0.25">
      <c r="A10" s="9">
        <v>2023</v>
      </c>
      <c r="B10" s="80">
        <v>93640.140814273051</v>
      </c>
      <c r="C10" s="81">
        <v>436822.62478407158</v>
      </c>
      <c r="D10" s="81">
        <v>127212.2834421212</v>
      </c>
      <c r="E10" s="81">
        <v>193413.23572772378</v>
      </c>
      <c r="F10" s="81">
        <v>135863.17976246326</v>
      </c>
      <c r="G10" s="81">
        <v>80602.856917464989</v>
      </c>
      <c r="H10" s="25">
        <f t="shared" si="0"/>
        <v>537091.55584977323</v>
      </c>
      <c r="I10" s="25">
        <f t="shared" si="1"/>
        <v>110649.76485101954</v>
      </c>
      <c r="J10" s="25">
        <f t="shared" si="2"/>
        <v>426441.79099875368</v>
      </c>
    </row>
    <row r="11" spans="1:10" ht="15.75" customHeight="1" x14ac:dyDescent="0.25">
      <c r="A11" s="9">
        <v>2024</v>
      </c>
      <c r="B11" s="80">
        <v>96043.815162384126</v>
      </c>
      <c r="C11" s="81">
        <v>447643.19328897761</v>
      </c>
      <c r="D11" s="81">
        <v>131892.27601333571</v>
      </c>
      <c r="E11" s="81">
        <v>200605.78033261729</v>
      </c>
      <c r="F11" s="81">
        <v>140378.44157803548</v>
      </c>
      <c r="G11" s="81">
        <v>83425.164743497371</v>
      </c>
      <c r="H11" s="25">
        <f t="shared" si="0"/>
        <v>556301.66266748589</v>
      </c>
      <c r="I11" s="25">
        <f t="shared" si="1"/>
        <v>113490.06388393576</v>
      </c>
      <c r="J11" s="25">
        <f t="shared" si="2"/>
        <v>442811.59878355014</v>
      </c>
    </row>
    <row r="12" spans="1:10" ht="15.75" customHeight="1" x14ac:dyDescent="0.25">
      <c r="A12" s="9">
        <v>2025</v>
      </c>
      <c r="B12" s="80">
        <v>98538.617530494128</v>
      </c>
      <c r="C12" s="81">
        <v>458903.41371841496</v>
      </c>
      <c r="D12" s="81">
        <v>136610.27835554469</v>
      </c>
      <c r="E12" s="81">
        <v>208225.01457404191</v>
      </c>
      <c r="F12" s="81">
        <v>145026.06582144593</v>
      </c>
      <c r="G12" s="81">
        <v>86351.104785884861</v>
      </c>
      <c r="H12" s="25">
        <f t="shared" si="0"/>
        <v>576212.46353691735</v>
      </c>
      <c r="I12" s="25">
        <f t="shared" si="1"/>
        <v>116438.04423702662</v>
      </c>
      <c r="J12" s="25">
        <f t="shared" si="2"/>
        <v>459774.41929989075</v>
      </c>
    </row>
    <row r="13" spans="1:10" ht="15.75" customHeight="1" x14ac:dyDescent="0.25">
      <c r="A13" s="9">
        <v>2026</v>
      </c>
      <c r="B13" s="80">
        <v>100966.83847329215</v>
      </c>
      <c r="C13" s="81">
        <v>470337.81544113107</v>
      </c>
      <c r="D13" s="81">
        <v>141327.47818819334</v>
      </c>
      <c r="E13" s="81">
        <v>216227.61869846928</v>
      </c>
      <c r="F13" s="81">
        <v>149813.28279661341</v>
      </c>
      <c r="G13" s="81">
        <v>89371.337839379179</v>
      </c>
      <c r="H13" s="25">
        <f t="shared" si="0"/>
        <v>596739.71752265526</v>
      </c>
      <c r="I13" s="25">
        <f t="shared" si="1"/>
        <v>119307.34872536383</v>
      </c>
      <c r="J13" s="25">
        <f t="shared" si="2"/>
        <v>477432.36879729142</v>
      </c>
    </row>
    <row r="14" spans="1:10" ht="15.75" customHeight="1" x14ac:dyDescent="0.25">
      <c r="A14" s="9">
        <v>2027</v>
      </c>
      <c r="B14" s="80">
        <v>103692.7717710188</v>
      </c>
      <c r="C14" s="81">
        <v>482311.0406321708</v>
      </c>
      <c r="D14" s="81">
        <v>146029.16283600868</v>
      </c>
      <c r="E14" s="81">
        <v>224575.73760017849</v>
      </c>
      <c r="F14" s="81">
        <v>154774.98438830307</v>
      </c>
      <c r="G14" s="81">
        <v>92500.982429182259</v>
      </c>
      <c r="H14" s="25">
        <f t="shared" si="0"/>
        <v>617880.86725367245</v>
      </c>
      <c r="I14" s="25">
        <f t="shared" si="1"/>
        <v>122528.44467599106</v>
      </c>
      <c r="J14" s="25">
        <f t="shared" si="2"/>
        <v>495352.42257768137</v>
      </c>
    </row>
    <row r="15" spans="1:10" ht="15.75" customHeight="1" x14ac:dyDescent="0.25">
      <c r="A15" s="9">
        <v>2028</v>
      </c>
      <c r="B15" s="80">
        <v>106228.76002626166</v>
      </c>
      <c r="C15" s="81">
        <v>494591.15667327301</v>
      </c>
      <c r="D15" s="81">
        <v>150702.80828615499</v>
      </c>
      <c r="E15" s="81">
        <v>233211.22245863636</v>
      </c>
      <c r="F15" s="81">
        <v>159950.59716666467</v>
      </c>
      <c r="G15" s="81">
        <v>95748.608649521921</v>
      </c>
      <c r="H15" s="25">
        <f t="shared" si="0"/>
        <v>639613.236560978</v>
      </c>
      <c r="I15" s="25">
        <f t="shared" si="1"/>
        <v>125525.09228531203</v>
      </c>
      <c r="J15" s="25">
        <f t="shared" si="2"/>
        <v>514088.14427566598</v>
      </c>
    </row>
    <row r="16" spans="1:10" ht="15.75" customHeight="1" x14ac:dyDescent="0.25">
      <c r="A16" s="9">
        <v>2029</v>
      </c>
      <c r="B16" s="156">
        <v>108896.11622303078</v>
      </c>
      <c r="C16" s="24">
        <v>507143.69823311456</v>
      </c>
      <c r="D16" s="24">
        <v>155333.48299711559</v>
      </c>
      <c r="E16" s="24">
        <v>242086.43148068499</v>
      </c>
      <c r="F16" s="24">
        <v>165382.62121083087</v>
      </c>
      <c r="G16" s="24">
        <v>99119.75409974542</v>
      </c>
      <c r="H16" s="25">
        <f t="shared" si="0"/>
        <v>661922.28978837689</v>
      </c>
      <c r="I16" s="25">
        <f t="shared" si="1"/>
        <v>128676.97067186638</v>
      </c>
      <c r="J16" s="25">
        <f t="shared" ref="J16:J40" si="3">H16-I16</f>
        <v>533245.31911651045</v>
      </c>
    </row>
    <row r="17" spans="1:10" ht="15.75" customHeight="1" x14ac:dyDescent="0.25">
      <c r="A17" s="9">
        <v>2030</v>
      </c>
      <c r="B17" s="156">
        <v>112677.48032571169</v>
      </c>
      <c r="C17" s="24">
        <v>521002.41918064863</v>
      </c>
      <c r="D17" s="24">
        <v>159858.54258624051</v>
      </c>
      <c r="E17" s="24">
        <v>251169.57035180813</v>
      </c>
      <c r="F17" s="24">
        <v>171123.30617351134</v>
      </c>
      <c r="G17" s="24">
        <v>102605.03562540328</v>
      </c>
      <c r="H17" s="25">
        <f t="shared" si="0"/>
        <v>684756.45473696326</v>
      </c>
      <c r="I17" s="25">
        <f t="shared" si="1"/>
        <v>133145.21522104536</v>
      </c>
      <c r="J17" s="25">
        <f t="shared" si="3"/>
        <v>551611.23951591784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7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8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8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8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8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8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8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8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8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8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8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8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8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8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8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8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8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8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8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8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8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8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8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8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8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8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40"/>
  <sheetViews>
    <sheetView topLeftCell="A14" zoomScale="90" zoomScaleNormal="60" workbookViewId="0">
      <selection activeCell="A21" sqref="A21:XFD149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0.8518327</v>
      </c>
      <c r="D2" s="129">
        <v>0.8518327</v>
      </c>
      <c r="E2" s="129">
        <v>0.91368470000000002</v>
      </c>
      <c r="F2" s="129">
        <v>0.53755370000000002</v>
      </c>
      <c r="G2" s="129">
        <v>0.32763219999999998</v>
      </c>
      <c r="H2" s="147" t="s">
        <v>216</v>
      </c>
    </row>
    <row r="3" spans="1:15" ht="15.75" customHeight="1" x14ac:dyDescent="0.25">
      <c r="A3" s="5"/>
      <c r="B3" s="14" t="s">
        <v>119</v>
      </c>
      <c r="C3" s="129">
        <v>0.1481673</v>
      </c>
      <c r="D3" s="129">
        <v>0.1481673</v>
      </c>
      <c r="E3" s="129">
        <v>8.6315299999999998E-2</v>
      </c>
      <c r="F3" s="129">
        <v>0.15696579999999999</v>
      </c>
      <c r="G3" s="129">
        <v>0.24201529999999999</v>
      </c>
      <c r="H3" s="147"/>
    </row>
    <row r="4" spans="1:15" ht="15.75" customHeight="1" x14ac:dyDescent="0.25">
      <c r="A4" s="5"/>
      <c r="B4" s="14" t="s">
        <v>117</v>
      </c>
      <c r="C4" s="129">
        <v>0</v>
      </c>
      <c r="D4" s="129">
        <v>0</v>
      </c>
      <c r="E4" s="129">
        <v>0</v>
      </c>
      <c r="F4" s="129">
        <v>0.17242959999999999</v>
      </c>
      <c r="G4" s="129">
        <v>0.2521582</v>
      </c>
      <c r="H4" s="147"/>
    </row>
    <row r="5" spans="1:15" ht="15.75" customHeight="1" x14ac:dyDescent="0.25">
      <c r="A5" s="5"/>
      <c r="B5" s="14" t="s">
        <v>120</v>
      </c>
      <c r="C5" s="129">
        <v>0</v>
      </c>
      <c r="D5" s="129">
        <v>0</v>
      </c>
      <c r="E5" s="129">
        <v>0</v>
      </c>
      <c r="F5" s="129">
        <v>0.133051</v>
      </c>
      <c r="G5" s="129">
        <v>0.1781943</v>
      </c>
      <c r="H5" s="147"/>
      <c r="I5" s="104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0.72090339999999997</v>
      </c>
      <c r="D8" s="129">
        <v>0.72090339999999997</v>
      </c>
      <c r="E8" s="129">
        <v>0.18625340000000001</v>
      </c>
      <c r="F8" s="129">
        <v>0.74180279999999998</v>
      </c>
      <c r="G8" s="129">
        <v>0.72090339999999997</v>
      </c>
      <c r="H8" s="147" t="s">
        <v>216</v>
      </c>
    </row>
    <row r="9" spans="1:15" ht="15.75" customHeight="1" x14ac:dyDescent="0.25">
      <c r="B9" s="9" t="s">
        <v>122</v>
      </c>
      <c r="C9" s="129">
        <v>0.15745690000000001</v>
      </c>
      <c r="D9" s="129">
        <v>0.15745690000000001</v>
      </c>
      <c r="E9" s="129">
        <v>0.26322030000000002</v>
      </c>
      <c r="F9" s="129">
        <v>0.15745690000000001</v>
      </c>
      <c r="G9" s="129">
        <v>0.224302</v>
      </c>
      <c r="H9" s="147"/>
    </row>
    <row r="10" spans="1:15" ht="15.75" customHeight="1" x14ac:dyDescent="0.25">
      <c r="B10" s="9" t="s">
        <v>123</v>
      </c>
      <c r="C10" s="129">
        <v>0.32907180000000003</v>
      </c>
      <c r="D10" s="129">
        <v>0.32907180000000003</v>
      </c>
      <c r="E10" s="129">
        <v>0.32907180000000003</v>
      </c>
      <c r="F10" s="129">
        <v>3.2696299999999998E-2</v>
      </c>
      <c r="G10" s="129">
        <v>2.6497300000000001E-2</v>
      </c>
      <c r="H10" s="147"/>
    </row>
    <row r="11" spans="1:15" ht="15.75" customHeight="1" x14ac:dyDescent="0.25">
      <c r="B11" s="9" t="s">
        <v>124</v>
      </c>
      <c r="C11" s="129">
        <v>7.8400200000000003E-2</v>
      </c>
      <c r="D11" s="129">
        <v>7.8400200000000003E-2</v>
      </c>
      <c r="E11" s="129">
        <v>0.2214545</v>
      </c>
      <c r="F11" s="129">
        <v>6.8043999999999993E-2</v>
      </c>
      <c r="G11" s="129">
        <v>2.8297300000000001E-2</v>
      </c>
      <c r="H11" s="147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0.83550000000000002</v>
      </c>
      <c r="F14" s="129">
        <v>0.75690000000000002</v>
      </c>
      <c r="G14" s="129">
        <v>0.70669999999999999</v>
      </c>
      <c r="H14" s="138">
        <v>0.3785</v>
      </c>
      <c r="I14" s="138">
        <v>0.63790000000000002</v>
      </c>
      <c r="J14" s="138">
        <v>0.3402</v>
      </c>
      <c r="K14" s="138">
        <v>0</v>
      </c>
      <c r="L14" s="138">
        <v>0.59030000000000005</v>
      </c>
      <c r="M14" s="138">
        <v>0.50649999999999995</v>
      </c>
      <c r="N14" s="138">
        <v>0.53420000000000001</v>
      </c>
      <c r="O14" s="138">
        <v>0.45290000000000002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0.36360959999999998</v>
      </c>
      <c r="F15" s="37">
        <f t="shared" si="0"/>
        <v>0.32940288000000001</v>
      </c>
      <c r="G15" s="37">
        <f t="shared" si="0"/>
        <v>0.30755583999999997</v>
      </c>
      <c r="H15" s="37">
        <f t="shared" si="0"/>
        <v>0.16472319999999999</v>
      </c>
      <c r="I15" s="37">
        <f t="shared" si="0"/>
        <v>0.27761407999999999</v>
      </c>
      <c r="J15" s="37">
        <f t="shared" si="0"/>
        <v>0.14805504</v>
      </c>
      <c r="K15" s="37">
        <f t="shared" si="0"/>
        <v>0</v>
      </c>
      <c r="L15" s="37">
        <f t="shared" si="0"/>
        <v>0.25689856</v>
      </c>
      <c r="M15" s="37">
        <f t="shared" si="0"/>
        <v>0.22042879999999995</v>
      </c>
      <c r="N15" s="37">
        <f t="shared" si="0"/>
        <v>0.23248384</v>
      </c>
      <c r="O15" s="37">
        <f t="shared" si="0"/>
        <v>0.19710208000000001</v>
      </c>
    </row>
    <row r="16" spans="1:15" ht="19" customHeight="1" x14ac:dyDescent="0.3">
      <c r="B16" s="94" t="s">
        <v>211</v>
      </c>
      <c r="C16" s="149" t="s">
        <v>216</v>
      </c>
      <c r="D16" s="150"/>
      <c r="E16" s="150"/>
      <c r="F16" s="150"/>
      <c r="G16" s="150"/>
      <c r="H16" s="151" t="s">
        <v>216</v>
      </c>
      <c r="I16" s="152"/>
      <c r="J16" s="152"/>
      <c r="K16" s="152"/>
      <c r="L16" s="152"/>
      <c r="M16" s="152"/>
      <c r="N16" s="152"/>
      <c r="O16" s="152"/>
    </row>
    <row r="17" spans="3:15" ht="49.75" customHeight="1" x14ac:dyDescent="0.25">
      <c r="C17" s="10"/>
      <c r="D17" s="10"/>
      <c r="E17" s="10"/>
      <c r="F17" s="10"/>
      <c r="G17" s="10"/>
      <c r="H17" s="153"/>
      <c r="I17" s="153"/>
      <c r="J17" s="153"/>
      <c r="K17" s="153"/>
      <c r="L17" s="153"/>
      <c r="M17" s="153"/>
      <c r="N17" s="153"/>
      <c r="O17" s="153"/>
    </row>
    <row r="40" spans="14:14" ht="15.75" customHeight="1" x14ac:dyDescent="0.25">
      <c r="N40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A23" sqref="A23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1</v>
      </c>
      <c r="D2" s="129">
        <v>0.35376730000000001</v>
      </c>
      <c r="E2" s="129"/>
      <c r="F2" s="129"/>
      <c r="G2" s="129"/>
      <c r="H2" s="147" t="s">
        <v>207</v>
      </c>
    </row>
    <row r="3" spans="1:8" x14ac:dyDescent="0.25">
      <c r="B3" s="50" t="s">
        <v>167</v>
      </c>
      <c r="C3" s="139">
        <v>0</v>
      </c>
      <c r="D3" s="139">
        <v>0.32535140000000001</v>
      </c>
      <c r="E3" s="139"/>
      <c r="F3" s="139"/>
      <c r="G3" s="139"/>
      <c r="H3" s="147"/>
    </row>
    <row r="4" spans="1:8" x14ac:dyDescent="0.25">
      <c r="B4" s="50" t="s">
        <v>168</v>
      </c>
      <c r="C4" s="139">
        <v>0</v>
      </c>
      <c r="D4" s="139">
        <v>0.31012279999999998</v>
      </c>
      <c r="E4" s="132">
        <v>0.97220309999999999</v>
      </c>
      <c r="F4" s="132">
        <v>0.87321939999999998</v>
      </c>
      <c r="G4" s="132">
        <v>0.1381558</v>
      </c>
      <c r="H4" s="147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1.0758499999999893E-2</v>
      </c>
      <c r="E5" s="37">
        <f t="shared" si="0"/>
        <v>2.7796900000000013E-2</v>
      </c>
      <c r="F5" s="37">
        <f t="shared" si="0"/>
        <v>0.12678060000000002</v>
      </c>
      <c r="G5" s="37">
        <f t="shared" si="0"/>
        <v>0.86184419999999995</v>
      </c>
      <c r="H5" s="147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H1" sqref="H1:AJ104857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95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8" ht="15.75" customHeight="1" x14ac:dyDescent="0.25">
      <c r="A2" s="57" t="s">
        <v>29</v>
      </c>
      <c r="B2" s="155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55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55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29">
        <v>0.28899999999999998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8" ht="15.75" customHeight="1" x14ac:dyDescent="0.3">
      <c r="A6" s="92"/>
      <c r="B6" s="129">
        <v>4.5999999999999999E-2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8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29">
        <v>0.35899999999999999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29">
        <v>0.16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8" ht="15.75" customHeight="1" x14ac:dyDescent="0.35">
      <c r="A15" s="92"/>
      <c r="B15" s="129">
        <v>5.5E-2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  <c r="H15" s="99"/>
    </row>
    <row r="16" spans="1:8" ht="15.75" customHeight="1" x14ac:dyDescent="0.3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29">
        <v>0.36700000000000005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39.979983888</v>
      </c>
      <c r="E29" s="89"/>
      <c r="F29" s="90"/>
      <c r="G29" s="89"/>
    </row>
    <row r="30" spans="1:8" ht="15.75" customHeight="1" x14ac:dyDescent="0.35">
      <c r="A30" s="92" t="s">
        <v>28</v>
      </c>
      <c r="B30" s="129">
        <v>0.63500000000000001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  <c r="H30" s="99"/>
    </row>
    <row r="31" spans="1:8" ht="15.75" customHeight="1" x14ac:dyDescent="0.35">
      <c r="A31" s="92"/>
      <c r="B31" s="129">
        <v>0.30299999999999999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  <c r="H31" s="99"/>
    </row>
    <row r="32" spans="1:8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0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55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2018-11-06T13:38:08Z</dcterms:modified>
</cp:coreProperties>
</file>