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C9A96E09-13C2-4FFF-983A-FC3C28AC7184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<sst xmlns="http://schemas.openxmlformats.org/spreadsheetml/2006/main" count="434" uniqueCount="259">
  <si>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</si>
  <si>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</si>
  <si>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</si>
  <si>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</si>
  <si>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</si>
  <si>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</si>
  <si>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</si>
  <si>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</si>
  <si>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</si>
  <si>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</si>
  <si>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</si>
  <si>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</si>
  <si>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</si>
  <si>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</si>
  <si>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</si>
  <si>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</si>
  <si>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</si>
  <si>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</si>
  <si>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</si>
  <si>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</si>
  <si>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</si>
  <si>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</si>
  <si>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</si>
  <si>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</si>
  <si>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</si>
  <si>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</si>
  <si>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</si>
  <si>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</si>
  <si>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</si>
  <si>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</si>
  <si>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</si>
  <si>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</si>
  <si>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</si>
  <si>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</si>
  <si>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</si>
  <si>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</si>
  <si>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</si>
  <si>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</si>
  <si>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</si>
  <si>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</si>
  <si>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</si>
  <si>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</si>
  <si>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</si>
  <si>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</si>
  <si>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</si>
  <si>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</si>
  <si>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</si>
  <si>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</si>
  <si>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</si>
  <si>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</si>
  <si>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</si>
  <si>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</si>
  <si>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</si>
  <si>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</si>
  <si>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</si>
  <si>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</si>
  <si>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</si>
  <si>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</si>
  <si>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</si>
  <si>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</si>
  <si>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</si>
  <si>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</si>
  <si>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</si>
  <si>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</si>
  <si>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</si>
  <si>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</si>
  <si>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</si>
  <si>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</si>
  <si>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</si>
  <si>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</si>
  <si>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</si>
  <si>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</si>
  <si>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</si>
  <si>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</si>
  <si>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</si>
  <si>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</si>
  <si>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</si>
  <si>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</si>
  <si>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</si>
  <si>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</si>
  <si>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</si>
  <si>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</si>
  <si>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</si>
  <si>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</si>
  <si>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</si>
  <si>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</si>
  <si>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</si>
  <si>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</si>
  <si>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</si>
  <si>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</si>
  <si>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</si>
  <si>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</si>
  <si>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</si>
  <si>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</si>
  <si>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</si>
  <si>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</si>
  <si>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</si>
  <si>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</si>
  <si>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</si>
  <si>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</si>
  <si>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</si>
  <si>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</si>
  <si>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</si>
  <si>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</si>
  <si>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</si>
  <si>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</si>
  <si>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</si>
  <si>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</si>
  <si>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</si>
  <si>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</si>
  <si>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</si>
  <si>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</si>
  <si>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</si>
  <si>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</si>
  <si>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</si>
  <si>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</si>
  <si>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</si>
  <si>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</si>
  <si>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</si>
  <si>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</si>
  <si>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</si>
  <si>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</si>
  <si>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</si>
  <si>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</si>
  <si>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</si>
  <si>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</si>
  <si>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</si>
  <si>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</si>
  <si>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</si>
  <si>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</si>
  <si>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</si>
  <si>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</si>
  <si>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</si>
  <si>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</si>
  <si>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</si>
  <si>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</si>
  <si>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</si>
  <si>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</si>
  <si>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</si>
  <si>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</si>
  <si>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</si>
  <si>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</si>
  <si>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</si>
  <si>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</si>
  <si>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</si>
  <si>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</si>
  <si>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</si>
  <si>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</si>
  <si>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</si>
  <si>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</si>
  <si>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</si>
  <si>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</si>
  <si>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</si>
  <si>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</si>
  <si>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</si>
  <si>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</si>
  <si>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</si>
  <si>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</si>
  <si>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</si>
  <si>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</si>
  <si>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</si>
  <si>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</si>
  <si>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</si>
  <si>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</si>
  <si>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</si>
  <si>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</si>
  <si>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</si>
  <si>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</si>
  <si>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</si>
  <si>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</si>
  <si>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</si>
  <si>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</si>
  <si>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</si>
  <si>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</si>
  <si>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</si>
  <si>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</si>
  <si>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</si>
  <si>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</si>
  <si>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</si>
  <si>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</si>
  <si>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</si>
  <si>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</si>
  <si>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</si>
  <si>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</si>
  <si>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</si>
  <si>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</si>
  <si>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</si>
  <si>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</si>
  <si>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</si>
  <si>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</si>
  <si>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</si>
  <si>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</si>
  <si>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</si>
  <si>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</si>
  <si>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</si>
  <si>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</si>
  <si>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</si>
  <si>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</si>
  <si>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</si>
  <si>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</si>
  <si>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</si>
  <si>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</si>
  <si>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</si>
  <si>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</si>
  <si>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</si>
  <si>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</si>
  <si>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</si>
  <si>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</si>
  <si>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</si>
  <si>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</si>
  <si>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</si>
  <si>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</si>
  <si>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</si>
  <si>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Mongala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</si>
  <si>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</si>
  <si>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</si>
  <si>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</si>
  <si>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</si>
  <si>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</si>
  <si>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</si>
  <si>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</si>
  <si>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</si>
  <si>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</si>
  <si>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</si>
  <si>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</si>
  <si>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</si>
  <si>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</si>
  <si>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</si>
  <si>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</si>
  <si>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</si>
  <si>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</si>
  <si>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</si>
  <si>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</si>
  <si>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</si>
  <si>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</si>
  <si>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</si>
  <si>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</si>
  <si>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</si>
  <si>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</si>
  <si>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</si>
  <si>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</si>
  <si>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</si>
  <si>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</si>
  <si>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</si>
  <si>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</si>
  <si>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</si>
  <si>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</si>
  <si>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</si>
  <si>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</si>
  <si>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</si>
  <si>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</si>
  <si>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</si>
  <si>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</si>
  <si>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</si>
  <si>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</si>
  <si>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</si>
  <si>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</si>
  <si>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</si>
  <si>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Mongala Baseline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</si>
</sst>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6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26" fillId="0" borderId="0" xfId="727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G72"/>
  <sheetViews>
    <sheetView tabSelected="1" zoomScale="119" zoomScaleNormal="115" workbookViewId="0">
      <selection activeCell="A5" sqref="A5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16384" width="14.36328125" style="15"/>
  </cols>
  <sheetData>
    <row r="1" spans="1:6" ht="27" customHeight="1" x14ac:dyDescent="0.35">
      <c r="A1" s="1" t="s">
        <v>100</v>
      </c>
      <c r="B1" s="48" t="s">
        <v>165</v>
      </c>
      <c r="C1" s="95" t="s">
        <v>213</v>
      </c>
      <c r="D1" s="109" t="s">
        <v>214</v>
      </c>
      <c r="E1" s="109" t="s">
        <v>215</v>
      </c>
      <c r="F1" s="96"/>
    </row>
    <row r="2" spans="1:6" ht="16" customHeight="1" x14ac:dyDescent="0.3">
      <c r="A2" s="15" t="s">
        <v>192</v>
      </c>
      <c r="B2" s="48"/>
    </row>
    <row r="3" spans="1:6" ht="16" customHeight="1" x14ac:dyDescent="0.3">
      <c r="A3" s="1"/>
      <c r="B3" s="9" t="s">
        <v>194</v>
      </c>
      <c r="C3" s="73">
        <v>2017</v>
      </c>
    </row>
    <row r="4" spans="1:6" ht="16" customHeight="1" x14ac:dyDescent="0.3">
      <c r="A4" s="1"/>
      <c r="B4" s="12" t="s">
        <v>193</v>
      </c>
      <c r="C4" s="74">
        <v>2030</v>
      </c>
    </row>
    <row r="5" spans="1:6" ht="16" customHeight="1" x14ac:dyDescent="0.3">
      <c r="A5" s="1"/>
      <c r="B5" s="48"/>
    </row>
    <row r="6" spans="1:6" ht="15" customHeight="1" x14ac:dyDescent="0.25">
      <c r="A6" s="15" t="s">
        <v>48</v>
      </c>
    </row>
    <row r="7" spans="1:6" ht="15" customHeight="1" x14ac:dyDescent="0.35">
      <c r="B7" s="9" t="s">
        <v>106</v>
      </c>
      <c r="C7" s="134">
        <v>0.6</v>
      </c>
      <c r="D7" s="107" t="s">
        <v>203</v>
      </c>
      <c r="E7" s="111" t="s">
        <v>251</v>
      </c>
    </row>
    <row r="8" spans="1:6" ht="38.25" customHeight="1" x14ac:dyDescent="0.3">
      <c r="A8" s="106"/>
      <c r="B8" s="12" t="s">
        <v>107</v>
      </c>
      <c r="C8" s="128">
        <v>0.2072</v>
      </c>
      <c r="D8" s="107" t="s">
        <v>216</v>
      </c>
      <c r="E8" s="110" t="s">
        <v>227</v>
      </c>
    </row>
    <row r="9" spans="1:6" ht="38.25" customHeight="1" x14ac:dyDescent="0.3">
      <c r="A9" s="106"/>
      <c r="B9" s="12"/>
      <c r="C9" s="129">
        <v>0.25319999999999998</v>
      </c>
      <c r="D9" s="107" t="s">
        <v>216</v>
      </c>
      <c r="E9" s="110" t="s">
        <v>228</v>
      </c>
      <c r="F9" s="16"/>
    </row>
    <row r="10" spans="1:6" ht="15" customHeight="1" x14ac:dyDescent="0.3">
      <c r="A10" s="106"/>
      <c r="B10" s="12" t="s">
        <v>105</v>
      </c>
      <c r="C10" s="128">
        <v>0.36170000000000002</v>
      </c>
      <c r="D10" s="107" t="s">
        <v>216</v>
      </c>
      <c r="E10" s="111"/>
    </row>
    <row r="11" spans="1:6" ht="15" customHeight="1" x14ac:dyDescent="0.3">
      <c r="A11" s="106"/>
      <c r="B11" s="9" t="s">
        <v>108</v>
      </c>
      <c r="C11" s="128">
        <v>0.46760000000000002</v>
      </c>
      <c r="D11" s="107" t="s">
        <v>216</v>
      </c>
      <c r="E11" s="111" t="s">
        <v>238</v>
      </c>
    </row>
    <row r="12" spans="1:6" ht="15" customHeight="1" x14ac:dyDescent="0.3">
      <c r="A12" s="106"/>
      <c r="B12" s="9" t="s">
        <v>109</v>
      </c>
      <c r="C12" s="128">
        <v>5.7999999999999996E-2</v>
      </c>
      <c r="D12" s="107" t="s">
        <v>216</v>
      </c>
      <c r="E12" s="111" t="s">
        <v>239</v>
      </c>
    </row>
    <row r="13" spans="1:6" ht="15" customHeight="1" x14ac:dyDescent="0.3">
      <c r="A13" s="106"/>
      <c r="B13" s="9" t="s">
        <v>110</v>
      </c>
      <c r="C13" s="128">
        <v>0.42299999999999999</v>
      </c>
      <c r="D13" s="107" t="s">
        <v>216</v>
      </c>
      <c r="E13" s="111"/>
    </row>
    <row r="14" spans="1:6" ht="15" customHeight="1" x14ac:dyDescent="0.25">
      <c r="B14" s="15"/>
    </row>
    <row r="15" spans="1:6" ht="15" customHeight="1" x14ac:dyDescent="0.3">
      <c r="A15" s="15" t="s">
        <v>30</v>
      </c>
      <c r="B15" s="21"/>
    </row>
    <row r="16" spans="1:6" ht="15" customHeight="1" x14ac:dyDescent="0.25">
      <c r="B16" s="12" t="s">
        <v>94</v>
      </c>
      <c r="C16" s="129">
        <v>0.59699999999999998</v>
      </c>
      <c r="D16" s="107" t="s">
        <v>249</v>
      </c>
      <c r="E16" s="111" t="s">
        <v>253</v>
      </c>
    </row>
    <row r="17" spans="1:7" ht="15" customHeight="1" x14ac:dyDescent="0.25">
      <c r="B17" s="12" t="s">
        <v>95</v>
      </c>
      <c r="C17" s="129"/>
      <c r="D17" s="144"/>
      <c r="E17" s="111"/>
    </row>
    <row r="18" spans="1:7" ht="15" customHeight="1" x14ac:dyDescent="0.25">
      <c r="B18" s="12" t="s">
        <v>96</v>
      </c>
      <c r="C18" s="129"/>
      <c r="D18" s="144"/>
      <c r="E18" s="111"/>
    </row>
    <row r="19" spans="1:7" ht="15" customHeight="1" x14ac:dyDescent="0.25">
      <c r="B19" s="12" t="s">
        <v>97</v>
      </c>
      <c r="C19" s="129"/>
      <c r="D19" s="144"/>
      <c r="E19" s="111"/>
    </row>
    <row r="20" spans="1:7" ht="15" customHeight="1" x14ac:dyDescent="0.25">
      <c r="B20" s="12" t="s">
        <v>98</v>
      </c>
      <c r="C20" s="105"/>
    </row>
    <row r="21" spans="1:7" ht="15" customHeight="1" x14ac:dyDescent="0.25">
      <c r="B21" s="15"/>
      <c r="C21" s="105"/>
    </row>
    <row r="22" spans="1:7" ht="15" customHeight="1" x14ac:dyDescent="0.25">
      <c r="A22" s="15" t="s">
        <v>99</v>
      </c>
      <c r="C22" s="105"/>
    </row>
    <row r="23" spans="1:7" ht="15" customHeight="1" x14ac:dyDescent="0.35">
      <c r="A23" s="106"/>
      <c r="B23" s="22" t="s">
        <v>101</v>
      </c>
      <c r="C23" s="128">
        <v>0.36840000000000001</v>
      </c>
      <c r="D23" s="145" t="s">
        <v>216</v>
      </c>
      <c r="E23" s="112" t="s">
        <v>217</v>
      </c>
      <c r="F23" s="99"/>
    </row>
    <row r="24" spans="1:7" ht="15" customHeight="1" x14ac:dyDescent="0.35">
      <c r="A24" s="106"/>
      <c r="B24" s="22" t="s">
        <v>102</v>
      </c>
      <c r="C24" s="128">
        <v>0.35210000000000002</v>
      </c>
      <c r="D24" s="145"/>
      <c r="E24" s="112" t="s">
        <v>217</v>
      </c>
      <c r="F24" s="99"/>
    </row>
    <row r="25" spans="1:7" ht="15" customHeight="1" x14ac:dyDescent="0.35">
      <c r="A25" s="106"/>
      <c r="B25" s="22" t="s">
        <v>103</v>
      </c>
      <c r="C25" s="128">
        <v>0.23230000000000001</v>
      </c>
      <c r="D25" s="145"/>
      <c r="E25" s="112" t="s">
        <v>217</v>
      </c>
      <c r="F25" s="99"/>
    </row>
    <row r="26" spans="1:7" ht="15" customHeight="1" x14ac:dyDescent="0.35">
      <c r="A26" s="106"/>
      <c r="B26" s="22" t="s">
        <v>104</v>
      </c>
      <c r="C26" s="128">
        <v>4.7199999999999999E-2</v>
      </c>
      <c r="D26" s="145"/>
      <c r="E26" s="112" t="s">
        <v>217</v>
      </c>
      <c r="F26" s="99"/>
    </row>
    <row r="27" spans="1:7" ht="15" customHeight="1" x14ac:dyDescent="0.25">
      <c r="B27" s="22"/>
      <c r="C27" s="105"/>
    </row>
    <row r="28" spans="1:7" ht="15" customHeight="1" x14ac:dyDescent="0.25">
      <c r="A28" s="15" t="s">
        <v>197</v>
      </c>
      <c r="B28" s="22"/>
      <c r="C28" s="105"/>
      <c r="D28"/>
    </row>
    <row r="29" spans="1:7" ht="14.25" customHeight="1" x14ac:dyDescent="0.3">
      <c r="A29" s="106"/>
      <c r="B29" s="34" t="s">
        <v>75</v>
      </c>
      <c r="C29" s="131">
        <v>0.14219999999999999</v>
      </c>
      <c r="D29" s="145" t="s">
        <v>216</v>
      </c>
      <c r="E29" s="140"/>
    </row>
    <row r="30" spans="1:7" ht="14.25" customHeight="1" x14ac:dyDescent="0.35">
      <c r="A30" s="106"/>
      <c r="B30" s="34" t="s">
        <v>76</v>
      </c>
      <c r="C30" s="131">
        <v>8.2400000000000001E-2</v>
      </c>
      <c r="D30" s="145"/>
      <c r="E30" s="141"/>
      <c r="F30" s="99"/>
      <c r="G30" s="98"/>
    </row>
    <row r="31" spans="1:7" ht="14.25" customHeight="1" x14ac:dyDescent="0.35">
      <c r="A31" s="106"/>
      <c r="B31" s="34" t="s">
        <v>77</v>
      </c>
      <c r="C31" s="131">
        <v>0.1777</v>
      </c>
      <c r="D31" s="145"/>
      <c r="E31" s="141"/>
      <c r="F31" s="99"/>
      <c r="G31" s="98"/>
    </row>
    <row r="32" spans="1:7" ht="14.25" customHeight="1" x14ac:dyDescent="0.3">
      <c r="A32" s="106"/>
      <c r="B32" s="34" t="s">
        <v>78</v>
      </c>
      <c r="C32" s="131">
        <v>0.59770000000000001</v>
      </c>
      <c r="D32" s="145"/>
      <c r="E32" s="142"/>
    </row>
    <row r="33" spans="1:6" ht="13" x14ac:dyDescent="0.25">
      <c r="B33" s="36" t="s">
        <v>130</v>
      </c>
      <c r="C33" s="133"/>
    </row>
    <row r="34" spans="1:6" ht="15" customHeight="1" x14ac:dyDescent="0.25">
      <c r="C34" s="133"/>
    </row>
    <row r="35" spans="1:6" ht="15" customHeight="1" x14ac:dyDescent="0.3">
      <c r="A35" s="4" t="s">
        <v>136</v>
      </c>
      <c r="C35" s="133"/>
    </row>
    <row r="36" spans="1:6" ht="15" customHeight="1" x14ac:dyDescent="0.25">
      <c r="A36" s="15" t="s">
        <v>74</v>
      </c>
      <c r="B36" s="9"/>
      <c r="C36" s="133"/>
      <c r="D36"/>
    </row>
    <row r="37" spans="1:6" ht="15" customHeight="1" x14ac:dyDescent="0.3">
      <c r="A37" s="106"/>
      <c r="B37" s="49" t="s">
        <v>92</v>
      </c>
      <c r="C37" s="132">
        <v>12.522</v>
      </c>
      <c r="D37" s="145" t="s">
        <v>216</v>
      </c>
      <c r="E37" s="124"/>
      <c r="F37" s="100"/>
    </row>
    <row r="38" spans="1:6" ht="15" customHeight="1" x14ac:dyDescent="0.3">
      <c r="A38" s="106"/>
      <c r="B38" s="19" t="s">
        <v>91</v>
      </c>
      <c r="C38" s="132">
        <v>44.568000000000005</v>
      </c>
      <c r="D38" s="145"/>
      <c r="E38" s="124"/>
      <c r="F38" s="100"/>
    </row>
    <row r="39" spans="1:6" ht="15" customHeight="1" x14ac:dyDescent="0.3">
      <c r="A39" s="106"/>
      <c r="B39" s="19" t="s">
        <v>90</v>
      </c>
      <c r="C39" s="132">
        <v>123.5523</v>
      </c>
      <c r="D39" s="145"/>
      <c r="E39" s="124"/>
      <c r="F39" s="118"/>
    </row>
    <row r="40" spans="1:6" ht="15" customHeight="1" x14ac:dyDescent="0.35">
      <c r="B40" s="19" t="s">
        <v>237</v>
      </c>
      <c r="C40" s="130">
        <v>846</v>
      </c>
      <c r="D40" s="145"/>
      <c r="E40" s="124" t="s">
        <v>245</v>
      </c>
      <c r="F40" s="119"/>
    </row>
    <row r="41" spans="1:6" ht="26.65" customHeight="1" x14ac:dyDescent="0.25">
      <c r="B41" s="19" t="s">
        <v>89</v>
      </c>
      <c r="C41" s="129">
        <v>0.13</v>
      </c>
      <c r="D41" s="104" t="s">
        <v>205</v>
      </c>
      <c r="E41" s="123" t="s">
        <v>254</v>
      </c>
      <c r="F41" s="120"/>
    </row>
    <row r="42" spans="1:6" ht="15" customHeight="1" x14ac:dyDescent="0.25">
      <c r="B42" s="49" t="s">
        <v>93</v>
      </c>
      <c r="C42" s="132">
        <v>27.27</v>
      </c>
      <c r="D42" s="108" t="s">
        <v>240</v>
      </c>
      <c r="E42" s="124" t="s">
        <v>255</v>
      </c>
      <c r="F42" s="121"/>
    </row>
    <row r="43" spans="1:6" ht="15.75" customHeight="1" x14ac:dyDescent="0.25">
      <c r="C43" s="133"/>
      <c r="D43" s="85"/>
      <c r="F43" s="122"/>
    </row>
    <row r="44" spans="1:6" ht="15.75" customHeight="1" x14ac:dyDescent="0.25">
      <c r="A44" s="15" t="s">
        <v>134</v>
      </c>
      <c r="C44" s="133"/>
      <c r="D44"/>
    </row>
    <row r="45" spans="1:6" ht="15.75" customHeight="1" x14ac:dyDescent="0.25">
      <c r="B45" s="19" t="s">
        <v>9</v>
      </c>
      <c r="C45" s="129">
        <v>1.9099999999999999E-2</v>
      </c>
      <c r="D45" s="146" t="s">
        <v>241</v>
      </c>
      <c r="E45" s="143" t="s">
        <v>256</v>
      </c>
    </row>
    <row r="46" spans="1:6" ht="15.75" customHeight="1" x14ac:dyDescent="0.25">
      <c r="B46" s="19" t="s">
        <v>11</v>
      </c>
      <c r="C46" s="129">
        <v>9.98E-2</v>
      </c>
      <c r="D46" s="146"/>
      <c r="E46" s="143"/>
    </row>
    <row r="47" spans="1:6" ht="15.75" customHeight="1" x14ac:dyDescent="0.25">
      <c r="B47" s="19" t="s">
        <v>12</v>
      </c>
      <c r="C47" s="129">
        <v>0.2</v>
      </c>
      <c r="D47" s="146"/>
      <c r="E47" s="143"/>
    </row>
    <row r="48" spans="1:6" ht="15" customHeight="1" x14ac:dyDescent="0.25">
      <c r="B48" s="19" t="s">
        <v>26</v>
      </c>
      <c r="C48" s="125"/>
      <c r="D48" s="85"/>
      <c r="E48" s="20"/>
    </row>
    <row r="49" spans="1:6" ht="15.75" customHeight="1" x14ac:dyDescent="0.25">
      <c r="D49" s="85"/>
    </row>
    <row r="50" spans="1:6" ht="15.75" customHeight="1" x14ac:dyDescent="0.25">
      <c r="A50" s="15" t="s">
        <v>72</v>
      </c>
      <c r="D50"/>
    </row>
    <row r="51" spans="1:6" ht="15.75" customHeight="1" x14ac:dyDescent="0.25">
      <c r="B51" s="19" t="s">
        <v>125</v>
      </c>
      <c r="C51" s="7">
        <v>3.3</v>
      </c>
      <c r="D51" s="146" t="s">
        <v>242</v>
      </c>
      <c r="E51" s="143" t="s">
        <v>257</v>
      </c>
    </row>
    <row r="52" spans="1:6" ht="15" customHeight="1" x14ac:dyDescent="0.25">
      <c r="B52" s="19" t="s">
        <v>126</v>
      </c>
      <c r="C52" s="7">
        <v>3.3</v>
      </c>
      <c r="D52" s="146"/>
      <c r="E52" s="143"/>
    </row>
    <row r="53" spans="1:6" ht="15.75" customHeight="1" x14ac:dyDescent="0.25">
      <c r="B53" s="19" t="s">
        <v>127</v>
      </c>
      <c r="C53" s="7">
        <v>3.3</v>
      </c>
      <c r="D53" s="146"/>
      <c r="E53" s="143"/>
    </row>
    <row r="54" spans="1:6" ht="15.75" customHeight="1" x14ac:dyDescent="0.25">
      <c r="B54" s="19" t="s">
        <v>128</v>
      </c>
      <c r="C54" s="7">
        <v>3.3</v>
      </c>
      <c r="D54" s="146"/>
      <c r="E54" s="143"/>
    </row>
    <row r="55" spans="1:6" ht="15.75" customHeight="1" x14ac:dyDescent="0.25">
      <c r="B55" s="19" t="s">
        <v>129</v>
      </c>
      <c r="C55" s="7">
        <v>3.3</v>
      </c>
      <c r="D55" s="146"/>
      <c r="E55" s="143"/>
    </row>
    <row r="57" spans="1:6" ht="15.75" customHeight="1" x14ac:dyDescent="0.25">
      <c r="A57" s="15" t="s">
        <v>135</v>
      </c>
      <c r="D57"/>
    </row>
    <row r="58" spans="1:6" ht="15.75" customHeight="1" x14ac:dyDescent="0.35">
      <c r="B58" s="9" t="s">
        <v>111</v>
      </c>
      <c r="C58" s="128">
        <v>0.34599999999999997</v>
      </c>
      <c r="D58" s="107" t="s">
        <v>216</v>
      </c>
      <c r="E58" s="127" t="s">
        <v>218</v>
      </c>
      <c r="F58" s="99"/>
    </row>
    <row r="59" spans="1:6" ht="65.650000000000006" customHeight="1" x14ac:dyDescent="0.25">
      <c r="B59" s="19" t="s">
        <v>133</v>
      </c>
      <c r="C59" s="135">
        <v>0.43519999999999998</v>
      </c>
      <c r="D59" s="104" t="s">
        <v>243</v>
      </c>
      <c r="E59" s="126" t="s">
        <v>244</v>
      </c>
    </row>
    <row r="60" spans="1:6" ht="15.75" customHeight="1" x14ac:dyDescent="0.25">
      <c r="C60" s="105"/>
    </row>
    <row r="61" spans="1:6" ht="15.75" customHeight="1" x14ac:dyDescent="0.3">
      <c r="A61" s="101" t="s">
        <v>219</v>
      </c>
      <c r="C61" s="97"/>
    </row>
    <row r="62" spans="1:6" ht="15.75" customHeight="1" x14ac:dyDescent="0.3">
      <c r="A62" s="106"/>
      <c r="B62" s="29" t="s">
        <v>220</v>
      </c>
      <c r="C62" s="128">
        <v>0.12</v>
      </c>
      <c r="D62" s="107" t="s">
        <v>216</v>
      </c>
      <c r="E62" s="111"/>
    </row>
    <row r="63" spans="1:6" ht="15.75" customHeight="1" x14ac:dyDescent="0.3">
      <c r="A63" s="106"/>
      <c r="B63" s="29" t="s">
        <v>221</v>
      </c>
      <c r="C63" s="128">
        <v>4.0999999999999995E-2</v>
      </c>
      <c r="D63" s="107" t="s">
        <v>216</v>
      </c>
      <c r="E63" s="111"/>
    </row>
    <row r="64" spans="1:6" ht="15.75" customHeight="1" x14ac:dyDescent="0.3">
      <c r="A64" s="106"/>
      <c r="B64" s="102" t="s">
        <v>222</v>
      </c>
      <c r="C64" s="128">
        <v>0</v>
      </c>
      <c r="D64" s="107" t="s">
        <v>216</v>
      </c>
      <c r="E64" s="111"/>
    </row>
    <row r="65" spans="1:5" ht="15.75" customHeight="1" x14ac:dyDescent="0.3">
      <c r="A65" s="106"/>
      <c r="B65" s="102" t="s">
        <v>223</v>
      </c>
      <c r="C65" s="128">
        <v>0.1134</v>
      </c>
      <c r="D65" s="107" t="s">
        <v>216</v>
      </c>
      <c r="E65" s="111"/>
    </row>
    <row r="66" spans="1:5" ht="15.75" customHeight="1" x14ac:dyDescent="0.3">
      <c r="A66" s="106"/>
      <c r="B66" s="102" t="s">
        <v>224</v>
      </c>
      <c r="C66" s="128">
        <v>0.29820000000000002</v>
      </c>
      <c r="D66" s="107" t="s">
        <v>216</v>
      </c>
      <c r="E66" s="111"/>
    </row>
    <row r="67" spans="1:5" ht="15.75" customHeight="1" x14ac:dyDescent="0.3">
      <c r="A67" s="106"/>
      <c r="B67" s="102" t="s">
        <v>225</v>
      </c>
      <c r="C67" s="128">
        <v>0.16139999999999999</v>
      </c>
      <c r="D67" s="107" t="s">
        <v>216</v>
      </c>
      <c r="E67" s="111"/>
    </row>
    <row r="68" spans="1:5" ht="15.75" customHeight="1" x14ac:dyDescent="0.3">
      <c r="A68" s="106"/>
      <c r="B68" s="102" t="s">
        <v>226</v>
      </c>
      <c r="C68" s="128">
        <v>7.8299999999999995E-2</v>
      </c>
      <c r="D68" s="107" t="s">
        <v>216</v>
      </c>
      <c r="E68" s="111"/>
    </row>
    <row r="69" spans="1:5" ht="15.75" customHeight="1" x14ac:dyDescent="0.25">
      <c r="B69" s="102"/>
      <c r="C69" s="97"/>
    </row>
    <row r="70" spans="1:5" ht="15.75" customHeight="1" x14ac:dyDescent="0.3">
      <c r="A70" s="106"/>
      <c r="B70" s="19" t="s">
        <v>229</v>
      </c>
      <c r="C70" s="128">
        <v>0.12</v>
      </c>
      <c r="D70" s="107" t="s">
        <v>216</v>
      </c>
      <c r="E70" s="111"/>
    </row>
    <row r="71" spans="1:5" ht="15.75" customHeight="1" x14ac:dyDescent="0.25">
      <c r="C71" s="105"/>
    </row>
    <row r="72" spans="1:5" ht="15.75" customHeight="1" x14ac:dyDescent="0.25">
      <c r="B72" s="19" t="s">
        <v>250</v>
      </c>
      <c r="C72" s="128">
        <v>0.90650000000000008</v>
      </c>
      <c r="D72" s="107" t="s">
        <v>252</v>
      </c>
      <c r="E72" s="111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4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4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4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4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4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0.15596464000000002</v>
      </c>
      <c r="C3" s="30">
        <f>frac_mam_1_5months * 2.6</f>
        <v>0.15596464000000002</v>
      </c>
      <c r="D3" s="30">
        <f>frac_mam_6_11months * 2.6</f>
        <v>8.1434859999999998E-2</v>
      </c>
      <c r="E3" s="30">
        <f>frac_mam_12_23months * 2.6</f>
        <v>3.8042680000000002E-2</v>
      </c>
      <c r="F3" s="30">
        <f>frac_mam_24_59months * 2.6</f>
        <v>7.831304E-2</v>
      </c>
    </row>
    <row r="4" spans="1:6" ht="15.75" customHeight="1" x14ac:dyDescent="0.25">
      <c r="A4" s="3" t="s">
        <v>66</v>
      </c>
      <c r="B4" s="30">
        <f>frac_sam_1month * 2.6</f>
        <v>7.6358099999999998E-2</v>
      </c>
      <c r="C4" s="30">
        <f>frac_sam_1_5months * 2.6</f>
        <v>7.6358099999999998E-2</v>
      </c>
      <c r="D4" s="30">
        <f>frac_sam_6_11months * 2.6</f>
        <v>0.14879384000000001</v>
      </c>
      <c r="E4" s="30">
        <f>frac_sam_12_23months * 2.6</f>
        <v>8.568039999999999E-2</v>
      </c>
      <c r="F4" s="30">
        <f>frac_sam_24_59months * 2.6</f>
        <v>4.5279519999999997E-2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0.6</v>
      </c>
      <c r="E2" s="40">
        <f>food_insecure</f>
        <v>0.6</v>
      </c>
      <c r="F2" s="40">
        <f>food_insecure</f>
        <v>0.6</v>
      </c>
      <c r="G2" s="40">
        <f>food_insecure</f>
        <v>0.6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0.6</v>
      </c>
      <c r="F5" s="40">
        <f>food_insecure</f>
        <v>0.6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0.6</v>
      </c>
      <c r="F8" s="40">
        <f>food_insecure</f>
        <v>0.6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5.7999999999999996E-2</v>
      </c>
      <c r="E9" s="40">
        <f>IF(ISBLANK(comm_deliv), frac_children_health_facility,1)</f>
        <v>5.7999999999999996E-2</v>
      </c>
      <c r="F9" s="40">
        <f>IF(ISBLANK(comm_deliv), frac_children_health_facility,1)</f>
        <v>5.7999999999999996E-2</v>
      </c>
      <c r="G9" s="40">
        <f>IF(ISBLANK(comm_deliv), frac_children_health_facility,1)</f>
        <v>5.7999999999999996E-2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0.6</v>
      </c>
      <c r="I14" s="40">
        <f>food_insecure</f>
        <v>0.6</v>
      </c>
      <c r="J14" s="40">
        <f>food_insecure</f>
        <v>0.6</v>
      </c>
      <c r="K14" s="40">
        <f>food_insecure</f>
        <v>0.6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0.46760000000000002</v>
      </c>
      <c r="I17" s="40">
        <f>frac_PW_health_facility</f>
        <v>0.46760000000000002</v>
      </c>
      <c r="J17" s="40">
        <f>frac_PW_health_facility</f>
        <v>0.46760000000000002</v>
      </c>
      <c r="K17" s="40">
        <f>frac_PW_health_facility</f>
        <v>0.46760000000000002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0.2072</v>
      </c>
      <c r="I18" s="40">
        <f>frac_malaria_risk</f>
        <v>0.2072</v>
      </c>
      <c r="J18" s="40">
        <f>frac_malaria_risk</f>
        <v>0.2072</v>
      </c>
      <c r="K18" s="40">
        <f>frac_malaria_risk</f>
        <v>0.2072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0.39319280000000001</v>
      </c>
      <c r="M24" s="40">
        <f>(1-food_insecure)*(0.49)+food_insecure*(0.7)</f>
        <v>0.61599999999999999</v>
      </c>
      <c r="N24" s="40">
        <f>(1-food_insecure)*(0.49)+food_insecure*(0.7)</f>
        <v>0.61599999999999999</v>
      </c>
      <c r="O24" s="40">
        <f>(1-food_insecure)*(0.49)+food_insecure*(0.7)</f>
        <v>0.61599999999999999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0.1685112</v>
      </c>
      <c r="M25" s="40">
        <f>(1-food_insecure)*(0.21)+food_insecure*(0.3)</f>
        <v>0.26400000000000001</v>
      </c>
      <c r="N25" s="40">
        <f>(1-food_insecure)*(0.21)+food_insecure*(0.3)</f>
        <v>0.26400000000000001</v>
      </c>
      <c r="O25" s="40">
        <f>(1-food_insecure)*(0.21)+food_insecure*(0.3)</f>
        <v>0.26400000000000001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7.6595999999999997E-2</v>
      </c>
      <c r="M26" s="40">
        <f>(1-food_insecure)*(0.3)</f>
        <v>0.12</v>
      </c>
      <c r="N26" s="40">
        <f>(1-food_insecure)*(0.3)</f>
        <v>0.12</v>
      </c>
      <c r="O26" s="40">
        <f>(1-food_insecure)*(0.3)</f>
        <v>0.12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0.36170000000000002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0.2072</v>
      </c>
      <c r="D33" s="40">
        <f t="shared" si="3"/>
        <v>0.2072</v>
      </c>
      <c r="E33" s="40">
        <f t="shared" si="3"/>
        <v>0.2072</v>
      </c>
      <c r="F33" s="40">
        <f t="shared" si="3"/>
        <v>0.2072</v>
      </c>
      <c r="G33" s="40">
        <f t="shared" si="3"/>
        <v>0.2072</v>
      </c>
      <c r="H33" s="40">
        <f t="shared" si="3"/>
        <v>0.2072</v>
      </c>
      <c r="I33" s="40">
        <f t="shared" si="3"/>
        <v>0.2072</v>
      </c>
      <c r="J33" s="40">
        <f t="shared" si="3"/>
        <v>0.2072</v>
      </c>
      <c r="K33" s="40">
        <f t="shared" si="3"/>
        <v>0.2072</v>
      </c>
      <c r="L33" s="40">
        <f t="shared" si="3"/>
        <v>0.2072</v>
      </c>
      <c r="M33" s="40">
        <f t="shared" si="3"/>
        <v>0.2072</v>
      </c>
      <c r="N33" s="40">
        <f t="shared" si="3"/>
        <v>0.2072</v>
      </c>
      <c r="O33" s="40">
        <f t="shared" si="3"/>
        <v>0.2072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activeCell="G19" sqref="G19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72036</v>
      </c>
      <c r="C2" s="81">
        <v>316000</v>
      </c>
      <c r="D2" s="81">
        <v>95000</v>
      </c>
      <c r="E2" s="81">
        <v>137000</v>
      </c>
      <c r="F2" s="81">
        <v>103000</v>
      </c>
      <c r="G2" s="81">
        <v>62000</v>
      </c>
      <c r="H2" s="25">
        <f t="shared" ref="H2:H40" si="0">D2+E2+F2+G2</f>
        <v>397000</v>
      </c>
      <c r="I2" s="25">
        <f>(B2 + stillbirth*B2/(1000-stillbirth))/(1-abortion)</f>
        <v>85121.256669373834</v>
      </c>
      <c r="J2" s="25">
        <f>H2-I2</f>
        <v>311878.74333062617</v>
      </c>
    </row>
    <row r="3" spans="1:10" ht="15.75" customHeight="1" x14ac:dyDescent="0.25">
      <c r="A3" s="9">
        <v>2016</v>
      </c>
      <c r="B3" s="80">
        <v>73943.016908838428</v>
      </c>
      <c r="C3" s="81">
        <v>323933.73969509278</v>
      </c>
      <c r="D3" s="81">
        <v>98668.648433452938</v>
      </c>
      <c r="E3" s="81">
        <v>141480.22487198183</v>
      </c>
      <c r="F3" s="81">
        <v>106498.98366776414</v>
      </c>
      <c r="G3" s="81">
        <v>63938.304544742576</v>
      </c>
      <c r="H3" s="25">
        <f t="shared" si="0"/>
        <v>410586.16151794151</v>
      </c>
      <c r="I3" s="25">
        <f t="shared" ref="I3:I40" si="1">(B3 + stillbirth*B3/(1000-stillbirth))/(1-abortion)</f>
        <v>87374.681009565829</v>
      </c>
      <c r="J3" s="25">
        <f t="shared" ref="J3:J15" si="2">H3-I3</f>
        <v>323211.48050837568</v>
      </c>
    </row>
    <row r="4" spans="1:10" ht="15.75" customHeight="1" x14ac:dyDescent="0.25">
      <c r="A4" s="9">
        <v>2017</v>
      </c>
      <c r="B4" s="80">
        <v>75900.51848493483</v>
      </c>
      <c r="C4" s="81">
        <v>332066.66997736751</v>
      </c>
      <c r="D4" s="81">
        <v>102478.97035457194</v>
      </c>
      <c r="E4" s="81">
        <v>146106.96372136165</v>
      </c>
      <c r="F4" s="81">
        <v>110116.83031326887</v>
      </c>
      <c r="G4" s="81">
        <v>65937.206258971753</v>
      </c>
      <c r="H4" s="25">
        <f t="shared" si="0"/>
        <v>424639.97064817423</v>
      </c>
      <c r="I4" s="25">
        <f t="shared" si="1"/>
        <v>89687.76049884349</v>
      </c>
      <c r="J4" s="25">
        <f t="shared" si="2"/>
        <v>334952.21014933073</v>
      </c>
    </row>
    <row r="5" spans="1:10" ht="15.75" customHeight="1" x14ac:dyDescent="0.25">
      <c r="A5" s="9">
        <v>2018</v>
      </c>
      <c r="B5" s="80">
        <v>77909.841214408632</v>
      </c>
      <c r="C5" s="81">
        <v>340403.79187931918</v>
      </c>
      <c r="D5" s="81">
        <v>106436.43681828951</v>
      </c>
      <c r="E5" s="81">
        <v>150885.00790263314</v>
      </c>
      <c r="F5" s="81">
        <v>113857.57779688133</v>
      </c>
      <c r="G5" s="81">
        <v>67998.599590574871</v>
      </c>
      <c r="H5" s="25">
        <f t="shared" si="0"/>
        <v>439177.62210837886</v>
      </c>
      <c r="I5" s="25">
        <f t="shared" si="1"/>
        <v>92062.074394494921</v>
      </c>
      <c r="J5" s="25">
        <f t="shared" si="2"/>
        <v>347115.54771388392</v>
      </c>
    </row>
    <row r="6" spans="1:10" ht="15.75" customHeight="1" x14ac:dyDescent="0.25">
      <c r="A6" s="9">
        <v>2019</v>
      </c>
      <c r="B6" s="80">
        <v>79861.964378816658</v>
      </c>
      <c r="C6" s="81">
        <v>348837.59367724642</v>
      </c>
      <c r="D6" s="81">
        <v>110572.92345143561</v>
      </c>
      <c r="E6" s="81">
        <v>155901.83587827958</v>
      </c>
      <c r="F6" s="81">
        <v>117752.16981139188</v>
      </c>
      <c r="G6" s="81">
        <v>70234.625073020667</v>
      </c>
      <c r="H6" s="25">
        <f t="shared" si="0"/>
        <v>454461.55421412771</v>
      </c>
      <c r="I6" s="25">
        <f t="shared" si="1"/>
        <v>94368.798489777924</v>
      </c>
      <c r="J6" s="25">
        <f t="shared" si="2"/>
        <v>360092.75572434976</v>
      </c>
    </row>
    <row r="7" spans="1:10" ht="15.75" customHeight="1" x14ac:dyDescent="0.25">
      <c r="A7" s="9">
        <v>2020</v>
      </c>
      <c r="B7" s="80">
        <v>81779.175298730363</v>
      </c>
      <c r="C7" s="81">
        <v>357415.62174588215</v>
      </c>
      <c r="D7" s="81">
        <v>114875.92047006743</v>
      </c>
      <c r="E7" s="81">
        <v>161204.16971572227</v>
      </c>
      <c r="F7" s="81">
        <v>121777.45233074253</v>
      </c>
      <c r="G7" s="81">
        <v>72825.694177105455</v>
      </c>
      <c r="H7" s="25">
        <f t="shared" si="0"/>
        <v>470683.23669363768</v>
      </c>
      <c r="I7" s="25">
        <f t="shared" si="1"/>
        <v>96634.268571449589</v>
      </c>
      <c r="J7" s="25">
        <f t="shared" si="2"/>
        <v>374048.96812218812</v>
      </c>
    </row>
    <row r="8" spans="1:10" ht="15.75" customHeight="1" x14ac:dyDescent="0.25">
      <c r="A8" s="9">
        <v>2021</v>
      </c>
      <c r="B8" s="80">
        <v>83848.13598110342</v>
      </c>
      <c r="C8" s="81">
        <v>366014.91757775075</v>
      </c>
      <c r="D8" s="81">
        <v>119321.07189012355</v>
      </c>
      <c r="E8" s="81">
        <v>166822.54430941766</v>
      </c>
      <c r="F8" s="81">
        <v>125923.91923001077</v>
      </c>
      <c r="G8" s="81">
        <v>75305.308107027158</v>
      </c>
      <c r="H8" s="25">
        <f t="shared" si="0"/>
        <v>487372.84353657911</v>
      </c>
      <c r="I8" s="25">
        <f t="shared" si="1"/>
        <v>99079.053585652495</v>
      </c>
      <c r="J8" s="25">
        <f t="shared" si="2"/>
        <v>388293.78995092661</v>
      </c>
    </row>
    <row r="9" spans="1:10" ht="15.75" customHeight="1" x14ac:dyDescent="0.25">
      <c r="A9" s="9">
        <v>2022</v>
      </c>
      <c r="B9" s="80">
        <v>85891.824026959352</v>
      </c>
      <c r="C9" s="81">
        <v>375256.75833739911</v>
      </c>
      <c r="D9" s="81">
        <v>123895.72046458919</v>
      </c>
      <c r="E9" s="81">
        <v>172757.3735359472</v>
      </c>
      <c r="F9" s="81">
        <v>130188.52655318467</v>
      </c>
      <c r="G9" s="81">
        <v>77896.223388907863</v>
      </c>
      <c r="H9" s="25">
        <f t="shared" si="0"/>
        <v>504737.84394262888</v>
      </c>
      <c r="I9" s="25">
        <f t="shared" si="1"/>
        <v>101493.9752179396</v>
      </c>
      <c r="J9" s="25">
        <f t="shared" si="2"/>
        <v>403243.8687246893</v>
      </c>
    </row>
    <row r="10" spans="1:10" ht="15.75" customHeight="1" x14ac:dyDescent="0.25">
      <c r="A10" s="9">
        <v>2023</v>
      </c>
      <c r="B10" s="80">
        <v>87977.238130040569</v>
      </c>
      <c r="C10" s="81">
        <v>384501.25189907121</v>
      </c>
      <c r="D10" s="81">
        <v>128565.60560639908</v>
      </c>
      <c r="E10" s="81">
        <v>179037.92766687946</v>
      </c>
      <c r="F10" s="81">
        <v>134556.80303397801</v>
      </c>
      <c r="G10" s="81">
        <v>80602.856917464989</v>
      </c>
      <c r="H10" s="25">
        <f t="shared" si="0"/>
        <v>522763.19322472159</v>
      </c>
      <c r="I10" s="25">
        <f t="shared" si="1"/>
        <v>103958.20239782616</v>
      </c>
      <c r="J10" s="25">
        <f t="shared" si="2"/>
        <v>418804.99082689546</v>
      </c>
    </row>
    <row r="11" spans="1:10" ht="15.75" customHeight="1" x14ac:dyDescent="0.25">
      <c r="A11" s="9">
        <v>2024</v>
      </c>
      <c r="B11" s="80">
        <v>90235.549882585532</v>
      </c>
      <c r="C11" s="81">
        <v>394025.76345213613</v>
      </c>
      <c r="D11" s="81">
        <v>133295.38533262652</v>
      </c>
      <c r="E11" s="81">
        <v>185695.89125384169</v>
      </c>
      <c r="F11" s="81">
        <v>139028.64887055432</v>
      </c>
      <c r="G11" s="81">
        <v>83425.164743497371</v>
      </c>
      <c r="H11" s="25">
        <f t="shared" si="0"/>
        <v>541445.09020051989</v>
      </c>
      <c r="I11" s="25">
        <f t="shared" si="1"/>
        <v>106626.73388663512</v>
      </c>
      <c r="J11" s="25">
        <f t="shared" si="2"/>
        <v>434818.35631388478</v>
      </c>
    </row>
    <row r="12" spans="1:10" ht="15.75" customHeight="1" x14ac:dyDescent="0.25">
      <c r="A12" s="9">
        <v>2025</v>
      </c>
      <c r="B12" s="80">
        <v>92579.478673358419</v>
      </c>
      <c r="C12" s="81">
        <v>403937.26667136233</v>
      </c>
      <c r="D12" s="81">
        <v>138063.57918911433</v>
      </c>
      <c r="E12" s="81">
        <v>192748.83105840365</v>
      </c>
      <c r="F12" s="81">
        <v>143631.58441931658</v>
      </c>
      <c r="G12" s="81">
        <v>86351.104785884861</v>
      </c>
      <c r="H12" s="25">
        <f t="shared" si="0"/>
        <v>560795.09945271944</v>
      </c>
      <c r="I12" s="25">
        <f t="shared" si="1"/>
        <v>109396.4346503382</v>
      </c>
      <c r="J12" s="25">
        <f t="shared" si="2"/>
        <v>451398.66480238124</v>
      </c>
    </row>
    <row r="13" spans="1:10" ht="15.75" customHeight="1" x14ac:dyDescent="0.25">
      <c r="A13" s="9">
        <v>2026</v>
      </c>
      <c r="B13" s="80">
        <v>94860.852561300417</v>
      </c>
      <c r="C13" s="81">
        <v>414002.08824344672</v>
      </c>
      <c r="D13" s="81">
        <v>142830.96199870607</v>
      </c>
      <c r="E13" s="81">
        <v>200156.6470384479</v>
      </c>
      <c r="F13" s="81">
        <v>148372.77046203052</v>
      </c>
      <c r="G13" s="81">
        <v>89371.337839379179</v>
      </c>
      <c r="H13" s="25">
        <f t="shared" si="0"/>
        <v>580731.71733856376</v>
      </c>
      <c r="I13" s="25">
        <f t="shared" si="1"/>
        <v>112092.21748495309</v>
      </c>
      <c r="J13" s="25">
        <f t="shared" si="2"/>
        <v>468639.49985361064</v>
      </c>
    </row>
    <row r="14" spans="1:10" ht="15.75" customHeight="1" x14ac:dyDescent="0.25">
      <c r="A14" s="9">
        <v>2027</v>
      </c>
      <c r="B14" s="80">
        <v>97421.934601281173</v>
      </c>
      <c r="C14" s="81">
        <v>424541.19453973795</v>
      </c>
      <c r="D14" s="81">
        <v>147582.66456830667</v>
      </c>
      <c r="E14" s="81">
        <v>207884.29764340847</v>
      </c>
      <c r="F14" s="81">
        <v>153286.76338456932</v>
      </c>
      <c r="G14" s="81">
        <v>92500.982429182259</v>
      </c>
      <c r="H14" s="25">
        <f t="shared" si="0"/>
        <v>601254.70802546677</v>
      </c>
      <c r="I14" s="25">
        <f t="shared" si="1"/>
        <v>115118.51713619032</v>
      </c>
      <c r="J14" s="25">
        <f t="shared" si="2"/>
        <v>486136.19088927645</v>
      </c>
    </row>
    <row r="15" spans="1:10" ht="15.75" customHeight="1" x14ac:dyDescent="0.25">
      <c r="A15" s="9">
        <v>2028</v>
      </c>
      <c r="B15" s="80">
        <v>99804.558555990981</v>
      </c>
      <c r="C15" s="81">
        <v>435350.43317201734</v>
      </c>
      <c r="D15" s="81">
        <v>152306.02965090136</v>
      </c>
      <c r="E15" s="81">
        <v>215877.95592454853</v>
      </c>
      <c r="F15" s="81">
        <v>158412.61065544668</v>
      </c>
      <c r="G15" s="81">
        <v>95748.608649521921</v>
      </c>
      <c r="H15" s="25">
        <f t="shared" si="0"/>
        <v>622345.20488041849</v>
      </c>
      <c r="I15" s="25">
        <f t="shared" si="1"/>
        <v>117933.94199591951</v>
      </c>
      <c r="J15" s="25">
        <f t="shared" si="2"/>
        <v>504411.26288449898</v>
      </c>
    </row>
    <row r="16" spans="1:10" ht="15.75" customHeight="1" x14ac:dyDescent="0.25">
      <c r="A16" s="9">
        <v>2029</v>
      </c>
      <c r="B16" s="8">
        <v>102310.60595468334</v>
      </c>
      <c r="C16" s="24">
        <v>446399.4669684238</v>
      </c>
      <c r="D16" s="24">
        <v>156985.96685878705</v>
      </c>
      <c r="E16" s="24">
        <v>224093.52103279624</v>
      </c>
      <c r="F16" s="24">
        <v>163792.4036991882</v>
      </c>
      <c r="G16" s="24">
        <v>99119.75409974542</v>
      </c>
      <c r="H16" s="25">
        <f t="shared" si="0"/>
        <v>643991.64569051692</v>
      </c>
      <c r="I16" s="25">
        <f t="shared" si="1"/>
        <v>120895.21002648352</v>
      </c>
      <c r="J16" s="25">
        <f t="shared" ref="J16:J40" si="3">H16-I16</f>
        <v>523096.4356640334</v>
      </c>
    </row>
    <row r="17" spans="1:10" ht="15.75" customHeight="1" x14ac:dyDescent="0.25">
      <c r="A17" s="9">
        <v>2030</v>
      </c>
      <c r="B17" s="8">
        <v>105863.29145072264</v>
      </c>
      <c r="C17" s="24">
        <v>458598.22969661531</v>
      </c>
      <c r="D17" s="24">
        <v>161559.16537971119</v>
      </c>
      <c r="E17" s="24">
        <v>232501.56174457914</v>
      </c>
      <c r="F17" s="24">
        <v>169477.88976799673</v>
      </c>
      <c r="G17" s="24">
        <v>102605.03562540328</v>
      </c>
      <c r="H17" s="25">
        <f t="shared" si="0"/>
        <v>666143.65251769032</v>
      </c>
      <c r="I17" s="25">
        <f t="shared" si="1"/>
        <v>125093.23676275321</v>
      </c>
      <c r="J17" s="25">
        <f t="shared" si="3"/>
        <v>541050.4157549371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7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8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8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8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8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8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8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8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48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48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48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48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48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48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48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48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48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48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48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48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48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48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48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48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48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48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45"/>
  <sheetViews>
    <sheetView topLeftCell="A13" zoomScale="90" zoomScaleNormal="60" workbookViewId="0">
      <selection activeCell="A20" sqref="A20:XFD141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8">
        <v>0.69055800000000001</v>
      </c>
      <c r="D2" s="128">
        <v>0.69055800000000001</v>
      </c>
      <c r="E2" s="128">
        <v>0.46688099999999999</v>
      </c>
      <c r="F2" s="128">
        <v>0.42450870000000002</v>
      </c>
      <c r="G2" s="128">
        <v>0.29912490000000003</v>
      </c>
      <c r="H2" s="147" t="s">
        <v>216</v>
      </c>
    </row>
    <row r="3" spans="1:15" ht="15.75" customHeight="1" x14ac:dyDescent="0.25">
      <c r="A3" s="5"/>
      <c r="B3" s="14" t="s">
        <v>119</v>
      </c>
      <c r="C3" s="128">
        <v>0.1761528</v>
      </c>
      <c r="D3" s="128">
        <v>0.1761528</v>
      </c>
      <c r="E3" s="128">
        <v>0.35429709999999998</v>
      </c>
      <c r="F3" s="128">
        <v>0.38091160000000002</v>
      </c>
      <c r="G3" s="128">
        <v>0.17180709999999999</v>
      </c>
      <c r="H3" s="147"/>
    </row>
    <row r="4" spans="1:15" ht="15.75" customHeight="1" x14ac:dyDescent="0.25">
      <c r="A4" s="5"/>
      <c r="B4" s="14" t="s">
        <v>117</v>
      </c>
      <c r="C4" s="128">
        <v>0.10857550000000001</v>
      </c>
      <c r="D4" s="128">
        <v>0.10857550000000001</v>
      </c>
      <c r="E4" s="128">
        <v>3.4499700000000001E-2</v>
      </c>
      <c r="F4" s="128">
        <v>1.47525E-2</v>
      </c>
      <c r="G4" s="128">
        <v>0.24162919999999999</v>
      </c>
      <c r="H4" s="147"/>
    </row>
    <row r="5" spans="1:15" ht="15.75" customHeight="1" x14ac:dyDescent="0.25">
      <c r="A5" s="5"/>
      <c r="B5" s="14" t="s">
        <v>120</v>
      </c>
      <c r="C5" s="128">
        <v>2.4713700000000002E-2</v>
      </c>
      <c r="D5" s="128">
        <v>2.4713700000000002E-2</v>
      </c>
      <c r="E5" s="128">
        <v>0.14432220000000001</v>
      </c>
      <c r="F5" s="128">
        <v>0.17982709999999999</v>
      </c>
      <c r="G5" s="128">
        <v>0.28743879999999999</v>
      </c>
      <c r="H5" s="147"/>
      <c r="I5" s="103"/>
    </row>
    <row r="6" spans="1:15" ht="15.75" customHeight="1" x14ac:dyDescent="0.25">
      <c r="B6" s="17"/>
      <c r="C6" s="33">
        <f>SUM(C2:C5)</f>
        <v>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8">
        <v>0.69152020000000003</v>
      </c>
      <c r="D8" s="128">
        <v>0.69152020000000003</v>
      </c>
      <c r="E8" s="128">
        <v>0.74079890000000004</v>
      </c>
      <c r="F8" s="128">
        <v>0.67275890000000005</v>
      </c>
      <c r="G8" s="128">
        <v>0.79811410000000005</v>
      </c>
      <c r="H8" s="147" t="s">
        <v>216</v>
      </c>
    </row>
    <row r="9" spans="1:15" ht="15.75" customHeight="1" x14ac:dyDescent="0.25">
      <c r="B9" s="9" t="s">
        <v>122</v>
      </c>
      <c r="C9" s="128">
        <v>0.21912490000000001</v>
      </c>
      <c r="D9" s="128">
        <v>0.21912490000000001</v>
      </c>
      <c r="E9" s="128">
        <v>0.17065159999999999</v>
      </c>
      <c r="F9" s="128">
        <v>0.27965519999999999</v>
      </c>
      <c r="G9" s="128">
        <v>0.1543504</v>
      </c>
      <c r="H9" s="147"/>
    </row>
    <row r="10" spans="1:15" ht="15.75" customHeight="1" x14ac:dyDescent="0.25">
      <c r="B10" s="9" t="s">
        <v>123</v>
      </c>
      <c r="C10" s="128">
        <v>5.9986400000000002E-2</v>
      </c>
      <c r="D10" s="128">
        <v>5.9986400000000002E-2</v>
      </c>
      <c r="E10" s="128">
        <v>3.1321099999999998E-2</v>
      </c>
      <c r="F10" s="128">
        <v>1.46318E-2</v>
      </c>
      <c r="G10" s="128">
        <v>3.0120399999999999E-2</v>
      </c>
      <c r="H10" s="147"/>
    </row>
    <row r="11" spans="1:15" ht="15.75" customHeight="1" x14ac:dyDescent="0.25">
      <c r="B11" s="9" t="s">
        <v>124</v>
      </c>
      <c r="C11" s="128">
        <v>2.9368499999999999E-2</v>
      </c>
      <c r="D11" s="128">
        <v>2.9368499999999999E-2</v>
      </c>
      <c r="E11" s="128">
        <v>5.7228399999999999E-2</v>
      </c>
      <c r="F11" s="128">
        <v>3.2953999999999997E-2</v>
      </c>
      <c r="G11" s="128">
        <v>1.7415199999999999E-2</v>
      </c>
      <c r="H11" s="147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6"/>
      <c r="D14" s="136"/>
      <c r="E14" s="128">
        <v>0.54869999999999997</v>
      </c>
      <c r="F14" s="128">
        <v>0.78649999999999998</v>
      </c>
      <c r="G14" s="128">
        <v>0.51100000000000001</v>
      </c>
      <c r="H14" s="137">
        <v>0.3301</v>
      </c>
      <c r="I14" s="137">
        <v>0.24349999999999999</v>
      </c>
      <c r="J14" s="137">
        <v>0.39589999999999997</v>
      </c>
      <c r="K14" s="137">
        <v>0</v>
      </c>
      <c r="L14" s="137">
        <v>0.25309999999999999</v>
      </c>
      <c r="M14" s="137">
        <v>0.34810000000000002</v>
      </c>
      <c r="N14" s="137">
        <v>0.41299999999999998</v>
      </c>
      <c r="O14" s="137">
        <v>0.39979999999999999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0.23879423999999996</v>
      </c>
      <c r="F15" s="37">
        <f t="shared" si="0"/>
        <v>0.34228479999999994</v>
      </c>
      <c r="G15" s="37">
        <f t="shared" si="0"/>
        <v>0.22238719999999998</v>
      </c>
      <c r="H15" s="37">
        <f t="shared" si="0"/>
        <v>0.14365951999999999</v>
      </c>
      <c r="I15" s="37">
        <f t="shared" si="0"/>
        <v>0.10597119999999999</v>
      </c>
      <c r="J15" s="37">
        <f t="shared" si="0"/>
        <v>0.17229567999999998</v>
      </c>
      <c r="K15" s="37">
        <f t="shared" si="0"/>
        <v>0</v>
      </c>
      <c r="L15" s="37">
        <f t="shared" si="0"/>
        <v>0.11014911999999999</v>
      </c>
      <c r="M15" s="37">
        <f t="shared" si="0"/>
        <v>0.15149312000000001</v>
      </c>
      <c r="N15" s="37">
        <f t="shared" si="0"/>
        <v>0.17973759999999997</v>
      </c>
      <c r="O15" s="37">
        <f t="shared" si="0"/>
        <v>0.17399295999999997</v>
      </c>
    </row>
    <row r="16" spans="1:15" ht="19" customHeight="1" x14ac:dyDescent="0.3">
      <c r="B16" s="94" t="s">
        <v>211</v>
      </c>
      <c r="C16" s="149" t="s">
        <v>216</v>
      </c>
      <c r="D16" s="150"/>
      <c r="E16" s="150"/>
      <c r="F16" s="150"/>
      <c r="G16" s="150"/>
      <c r="H16" s="151" t="s">
        <v>216</v>
      </c>
      <c r="I16" s="152"/>
      <c r="J16" s="152"/>
      <c r="K16" s="152"/>
      <c r="L16" s="152"/>
      <c r="M16" s="152"/>
      <c r="N16" s="152"/>
      <c r="O16" s="152"/>
    </row>
    <row r="17" spans="3:15" ht="49.75" customHeight="1" x14ac:dyDescent="0.25">
      <c r="C17" s="10"/>
      <c r="D17" s="10"/>
      <c r="E17" s="10"/>
      <c r="F17" s="10"/>
      <c r="G17" s="10"/>
      <c r="H17" s="153"/>
      <c r="I17" s="153"/>
      <c r="J17" s="153"/>
      <c r="K17" s="153"/>
      <c r="L17" s="153"/>
      <c r="M17" s="153"/>
      <c r="N17" s="153"/>
      <c r="O17" s="153"/>
    </row>
    <row r="45" spans="14:14" ht="15.75" customHeight="1" x14ac:dyDescent="0.25">
      <c r="N45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7"/>
  <sheetViews>
    <sheetView zoomScale="89" zoomScaleNormal="60" workbookViewId="0">
      <selection activeCell="A21" sqref="A21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8">
        <v>0.77965379999999995</v>
      </c>
      <c r="D2" s="128">
        <v>0.49114229999999998</v>
      </c>
      <c r="E2" s="128"/>
      <c r="F2" s="128"/>
      <c r="G2" s="128"/>
      <c r="H2" s="147" t="s">
        <v>207</v>
      </c>
    </row>
    <row r="3" spans="1:8" x14ac:dyDescent="0.25">
      <c r="B3" s="50" t="s">
        <v>167</v>
      </c>
      <c r="C3" s="138">
        <v>0.10069069999999999</v>
      </c>
      <c r="D3" s="138">
        <v>0.37850850000000003</v>
      </c>
      <c r="E3" s="138"/>
      <c r="F3" s="138"/>
      <c r="G3" s="138"/>
      <c r="H3" s="147"/>
    </row>
    <row r="4" spans="1:8" x14ac:dyDescent="0.25">
      <c r="B4" s="50" t="s">
        <v>168</v>
      </c>
      <c r="C4" s="138">
        <v>0.1196555</v>
      </c>
      <c r="D4" s="138">
        <v>0.1303492</v>
      </c>
      <c r="E4" s="131">
        <v>1</v>
      </c>
      <c r="F4" s="131">
        <v>0.84767409999999999</v>
      </c>
      <c r="G4" s="131">
        <v>0.2043528</v>
      </c>
      <c r="H4" s="147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0</v>
      </c>
      <c r="E5" s="37">
        <f t="shared" si="0"/>
        <v>0</v>
      </c>
      <c r="F5" s="37">
        <f t="shared" si="0"/>
        <v>0.15232590000000001</v>
      </c>
      <c r="G5" s="37">
        <f t="shared" si="0"/>
        <v>0.7956472</v>
      </c>
      <c r="H5" s="147"/>
    </row>
    <row r="7" spans="1:8" x14ac:dyDescent="0.25">
      <c r="C7" s="103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D1" zoomScale="107" zoomScaleNormal="60" workbookViewId="0">
      <selection activeCell="K4" sqref="K4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7" ht="56.65" customHeight="1" x14ac:dyDescent="0.35">
      <c r="A1" s="62" t="s">
        <v>69</v>
      </c>
      <c r="B1" s="155" t="s">
        <v>258</v>
      </c>
      <c r="C1" s="61" t="s">
        <v>201</v>
      </c>
      <c r="D1" s="60" t="s">
        <v>202</v>
      </c>
      <c r="E1" s="88" t="s">
        <v>208</v>
      </c>
      <c r="F1" s="113" t="s">
        <v>248</v>
      </c>
      <c r="G1" s="91" t="s">
        <v>209</v>
      </c>
    </row>
    <row r="2" spans="1:7" ht="15.75" customHeight="1" x14ac:dyDescent="0.25">
      <c r="A2" s="57" t="s">
        <v>29</v>
      </c>
      <c r="B2" s="139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39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39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28">
        <v>0.113</v>
      </c>
      <c r="C5" s="58">
        <v>0.95</v>
      </c>
      <c r="D5" s="115">
        <f>SUM('Programs family planning'!E2:E10)</f>
        <v>0.82100000000000006</v>
      </c>
      <c r="E5" s="89" t="s">
        <v>216</v>
      </c>
      <c r="F5" s="114" t="s">
        <v>230</v>
      </c>
      <c r="G5" s="89"/>
    </row>
    <row r="6" spans="1:7" ht="15.75" customHeight="1" x14ac:dyDescent="0.3">
      <c r="A6" s="92"/>
      <c r="B6" s="128">
        <v>2.5000000000000001E-2</v>
      </c>
      <c r="C6" s="58">
        <v>0.95</v>
      </c>
      <c r="D6" s="115">
        <v>8.2000000000000003E-2</v>
      </c>
      <c r="E6" s="89" t="s">
        <v>216</v>
      </c>
      <c r="F6" s="114" t="s">
        <v>231</v>
      </c>
      <c r="G6" s="89"/>
    </row>
    <row r="7" spans="1:7" ht="15.75" customHeight="1" x14ac:dyDescent="0.25">
      <c r="A7" s="57" t="s">
        <v>63</v>
      </c>
      <c r="B7" s="129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29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29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29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29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29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28">
        <v>0.254</v>
      </c>
      <c r="C13" s="58">
        <v>0.95</v>
      </c>
      <c r="D13" s="59">
        <v>2</v>
      </c>
      <c r="E13" s="89" t="s">
        <v>216</v>
      </c>
      <c r="F13" s="90" t="s">
        <v>246</v>
      </c>
      <c r="G13" s="89"/>
    </row>
    <row r="14" spans="1:7" ht="15.75" customHeight="1" x14ac:dyDescent="0.3">
      <c r="A14" s="92" t="s">
        <v>57</v>
      </c>
      <c r="B14" s="128">
        <v>0.13</v>
      </c>
      <c r="C14" s="58">
        <v>0.95</v>
      </c>
      <c r="D14" s="59">
        <v>2.1800000000000002</v>
      </c>
      <c r="E14" s="89" t="s">
        <v>216</v>
      </c>
      <c r="F14" s="114" t="s">
        <v>232</v>
      </c>
      <c r="G14" s="89" t="s">
        <v>212</v>
      </c>
    </row>
    <row r="15" spans="1:7" ht="15.75" customHeight="1" x14ac:dyDescent="0.3">
      <c r="A15" s="92"/>
      <c r="B15" s="128">
        <v>5.0999999999999997E-2</v>
      </c>
      <c r="C15" s="58">
        <v>0.95</v>
      </c>
      <c r="D15" s="59">
        <v>2.1800000000000002</v>
      </c>
      <c r="E15" s="89" t="s">
        <v>216</v>
      </c>
      <c r="F15" s="114" t="s">
        <v>233</v>
      </c>
      <c r="G15" s="89"/>
    </row>
    <row r="16" spans="1:7" ht="15.75" customHeight="1" x14ac:dyDescent="0.25">
      <c r="A16" s="57" t="s">
        <v>47</v>
      </c>
      <c r="B16" s="129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29"/>
      <c r="C17" s="58">
        <v>0.95</v>
      </c>
      <c r="D17" s="116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29"/>
      <c r="C18" s="58">
        <v>0.95</v>
      </c>
      <c r="D18" s="116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29"/>
      <c r="C19" s="58">
        <v>0.95</v>
      </c>
      <c r="D19" s="116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29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29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29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29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29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29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29"/>
      <c r="C26" s="58">
        <v>0.95</v>
      </c>
      <c r="D26" s="59">
        <v>3.54</v>
      </c>
      <c r="E26" s="89"/>
      <c r="F26" s="90" t="s">
        <v>247</v>
      </c>
      <c r="G26" s="89"/>
    </row>
    <row r="27" spans="1:7" ht="15.75" customHeight="1" x14ac:dyDescent="0.3">
      <c r="A27" s="92" t="s">
        <v>84</v>
      </c>
      <c r="B27" s="128">
        <v>0.19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7" ht="15.75" customHeight="1" x14ac:dyDescent="0.25">
      <c r="A28" s="57" t="s">
        <v>58</v>
      </c>
      <c r="B28" s="129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29"/>
      <c r="C29" s="58">
        <v>0.95</v>
      </c>
      <c r="D29" s="117">
        <f>162*AVERAGE('Incidence of conditions'!B4:F4) + 0*AVERAGE('Incidence of conditions'!B3:F3)*IF(ISBLANK(manage_mam), 0, 1)</f>
        <v>14.012026704</v>
      </c>
      <c r="E29" s="89"/>
      <c r="F29" s="90"/>
      <c r="G29" s="89"/>
    </row>
    <row r="30" spans="1:7" ht="15.75" customHeight="1" x14ac:dyDescent="0.3">
      <c r="A30" s="92" t="s">
        <v>28</v>
      </c>
      <c r="B30" s="128">
        <v>0.52500000000000002</v>
      </c>
      <c r="C30" s="58">
        <v>0.95</v>
      </c>
      <c r="D30" s="59">
        <v>0.55000000000000004</v>
      </c>
      <c r="E30" s="89" t="s">
        <v>216</v>
      </c>
      <c r="F30" s="114" t="s">
        <v>235</v>
      </c>
      <c r="G30" s="89"/>
    </row>
    <row r="31" spans="1:7" ht="15.75" customHeight="1" x14ac:dyDescent="0.3">
      <c r="A31" s="92"/>
      <c r="B31" s="128">
        <v>0.11</v>
      </c>
      <c r="C31" s="58">
        <v>0.95</v>
      </c>
      <c r="D31" s="59">
        <v>0.55000000000000004</v>
      </c>
      <c r="E31" s="89" t="s">
        <v>216</v>
      </c>
      <c r="F31" s="114" t="s">
        <v>236</v>
      </c>
      <c r="G31" s="89"/>
    </row>
    <row r="32" spans="1:7" ht="15.75" customHeight="1" x14ac:dyDescent="0.25">
      <c r="A32" s="57" t="s">
        <v>83</v>
      </c>
      <c r="B32" s="129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29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29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29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29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29">
        <v>0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39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2018-11-06T16:30:03Z</dcterms:modified>
</cp:coreProperties>
</file>