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484577\Desktop\Provincial projections\"/>
    </mc:Choice>
  </mc:AlternateContent>
  <xr:revisionPtr revIDLastSave="0" documentId="10_ncr:100000_{4672D647-FB1F-4473-AE25-76422BA38C60}" xr6:coauthVersionLast="31" xr6:coauthVersionMax="31" xr10:uidLastSave="{00000000-0000-0000-0000-000000000000}"/>
  <bookViews>
    <workbookView xWindow="0" yWindow="0" windowWidth="23040" windowHeight="8610" tabRatio="93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I2" i="2" l="1"/>
  <c r="A1" i="50" l="1"/>
  <c r="A1" i="5"/>
  <c r="A1" i="4"/>
  <c r="D19" i="56" l="1"/>
  <c r="C6" i="5"/>
  <c r="A34" i="2" l="1"/>
  <c r="A26" i="2"/>
  <c r="A18" i="2"/>
  <c r="A38" i="2"/>
  <c r="A30" i="2"/>
  <c r="A22" i="2"/>
  <c r="A37" i="2"/>
  <c r="A33" i="2"/>
  <c r="A29" i="2"/>
  <c r="A25" i="2"/>
  <c r="A21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I3" i="2"/>
  <c r="I4" i="2"/>
  <c r="I5" i="2"/>
  <c r="I6" i="2"/>
  <c r="I7" i="2"/>
  <c r="I8" i="2"/>
  <c r="I9" i="2"/>
  <c r="I10" i="2"/>
  <c r="I11" i="2"/>
  <c r="I12" i="2"/>
  <c r="I13" i="2"/>
  <c r="I14" i="2"/>
  <c r="I15" i="2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A8BB5F1D-230B-4232-AF42-5D96210F9657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<sst xmlns="http://schemas.openxmlformats.org/spreadsheetml/2006/main" count="434" uniqueCount="259">
  <si>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</si>
  <si>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</si>
  <si>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</si>
  <si>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</si>
  <si>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</si>
  <si>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</si>
  <si>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</si>
  <si>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</si>
  <si>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</si>
  <si>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</si>
  <si>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</si>
  <si>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</si>
  <si>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</si>
  <si>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</si>
  <si>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</si>
  <si>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</si>
  <si>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</si>
  <si>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</si>
  <si>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</si>
  <si>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</si>
  <si>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</si>
  <si>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</si>
  <si>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</si>
  <si>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</si>
  <si>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</si>
  <si>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</si>
  <si>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</si>
  <si>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</si>
  <si>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</si>
  <si>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</si>
  <si>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</si>
  <si>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</si>
  <si>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</si>
  <si>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</si>
  <si>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</si>
  <si>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</si>
  <si>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</si>
  <si>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</si>
  <si>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</si>
  <si>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</si>
  <si>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</si>
  <si>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</si>
  <si>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</si>
  <si>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</si>
  <si>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</si>
  <si>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</si>
  <si>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</si>
  <si>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</si>
  <si>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</si>
  <si>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</si>
  <si>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</si>
  <si>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</si>
  <si>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</si>
  <si>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</si>
  <si>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</si>
  <si>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</si>
  <si>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</si>
  <si>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</si>
  <si>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</si>
  <si>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</si>
  <si>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</si>
  <si>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</si>
  <si>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</si>
  <si>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</si>
  <si>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</si>
  <si>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</si>
  <si>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</si>
  <si>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</si>
  <si>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</si>
  <si>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</si>
  <si>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</si>
  <si>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</si>
  <si>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</si>
  <si>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</si>
  <si>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</si>
  <si>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</si>
  <si>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</si>
  <si>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</si>
  <si>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</si>
  <si>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</si>
  <si>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</si>
  <si>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</si>
  <si>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</si>
  <si>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</si>
  <si>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</si>
  <si>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</si>
  <si>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</si>
  <si>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</si>
  <si>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</si>
  <si>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</si>
  <si>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</si>
  <si>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</si>
  <si>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</si>
  <si>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</si>
  <si>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</si>
  <si>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</si>
  <si>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</si>
  <si>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</si>
  <si>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</si>
  <si>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</si>
  <si>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</si>
  <si>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</si>
  <si>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</si>
  <si>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</si>
  <si>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</si>
  <si>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</si>
  <si>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</si>
  <si>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</si>
  <si>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</si>
  <si>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</si>
  <si>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</si>
  <si>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</si>
  <si>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</si>
  <si>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</si>
  <si>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</si>
  <si>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</si>
  <si>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</si>
  <si>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</si>
  <si>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</si>
  <si>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</si>
  <si>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</si>
  <si>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</si>
  <si>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</si>
  <si>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</si>
  <si>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</si>
  <si>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</si>
  <si>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</si>
  <si>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</si>
  <si>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</si>
  <si>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</si>
  <si>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</si>
  <si>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</si>
  <si>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</si>
  <si>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</si>
  <si>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</si>
  <si>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</si>
  <si>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</si>
  <si>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</si>
  <si>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</si>
  <si>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</si>
  <si>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</si>
  <si>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</si>
  <si>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</si>
  <si>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</si>
  <si>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</si>
  <si>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</si>
  <si>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</si>
  <si>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</si>
  <si>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</si>
  <si>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</si>
  <si>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</si>
  <si>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</si>
  <si>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</si>
  <si>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</si>
  <si>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</si>
  <si>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</si>
  <si>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</si>
  <si>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</si>
  <si>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</si>
  <si>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</si>
  <si>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</si>
  <si>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</si>
  <si>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</si>
  <si>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</si>
  <si>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</si>
  <si>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</si>
  <si>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</si>
  <si>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</si>
  <si>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</si>
  <si>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</si>
  <si>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</si>
  <si>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</si>
  <si>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</si>
  <si>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</si>
  <si>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</si>
  <si>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</si>
  <si>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</si>
  <si>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</si>
  <si>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</si>
  <si>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</si>
  <si>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</si>
  <si>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</si>
  <si>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</si>
  <si>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</si>
  <si>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</si>
  <si>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</si>
  <si>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</si>
  <si>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</si>
  <si>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</si>
  <si>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</si>
  <si>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</si>
  <si>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</si>
  <si>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</si>
  <si>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</si>
  <si>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</si>
  <si>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</si>
  <si>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</si>
  <si>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</si>
  <si>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</si>
  <si>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</si>
  <si>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</si>
  <si>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</si>
  <si>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</si>
  <si>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</si>
  <si>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</si>
  <si>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</si>
  <si>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</si>
  <si>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</si>
  <si>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</si>
  <si>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</si>
  <si>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</si>
  <si>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</si>
  <si>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</si>
  <si>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Nord-Kivu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</si>
  <si>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</si>
  <si>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</si>
  <si>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</si>
  <si>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</si>
  <si>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</si>
  <si>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</si>
  <si>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</si>
  <si>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</si>
  <si>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</si>
  <si>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</si>
  <si>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</si>
  <si>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</si>
  <si>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</si>
  <si>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</si>
  <si>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</si>
  <si>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DHS - all diarrhoea 0-59 months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</si>
  <si>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</si>
  <si>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</si>
  <si>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</si>
  <si>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</si>
  <si>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</si>
  <si>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</si>
  <si>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</si>
  <si>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</si>
  <si>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</si>
  <si>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</si>
  <si>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</si>
  <si>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</si>
  <si>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</si>
  <si>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</si>
  <si>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</si>
  <si>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</si>
  <si>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</si>
  <si>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</si>
  <si>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</si>
  <si>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</si>
  <si>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</si>
  <si>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</si>
  <si>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</si>
  <si>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</si>
  <si>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</si>
  <si>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</si>
  <si>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</si>
  <si>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</si>
  <si>
    <t>Nord-Kivu Baseline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</si>
</sst>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57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43" fontId="5" fillId="0" borderId="0" xfId="0" applyNumberFormat="1" applyFont="1" applyAlignme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4" fontId="5" fillId="2" borderId="1" xfId="9" applyNumberFormat="1" applyFont="1" applyFill="1" applyBorder="1" applyAlignment="1">
      <alignment horizontal="center"/>
    </xf>
    <xf numFmtId="164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43" fontId="5" fillId="0" borderId="0" xfId="0" applyNumberFormat="1" applyFont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left" wrapText="1" indent="1"/>
    </xf>
    <xf numFmtId="0" fontId="5" fillId="5" borderId="1" xfId="725" applyFont="1" applyFill="1" applyBorder="1" applyAlignment="1"/>
    <xf numFmtId="0" fontId="4" fillId="5" borderId="1" xfId="725" applyFont="1" applyFill="1" applyBorder="1" applyAlignment="1"/>
    <xf numFmtId="0" fontId="9" fillId="5" borderId="1" xfId="0" applyFont="1" applyFill="1" applyBorder="1" applyAlignment="1">
      <alignment horizontal="lef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 indent="1"/>
    </xf>
    <xf numFmtId="0" fontId="26" fillId="0" borderId="0" xfId="727" applyFont="1" applyFill="1"/>
    <xf numFmtId="0" fontId="27" fillId="0" borderId="0" xfId="727" applyFont="1" applyFill="1"/>
    <xf numFmtId="166" fontId="0" fillId="0" borderId="0" xfId="10" applyNumberFormat="1" applyFont="1"/>
    <xf numFmtId="0" fontId="0" fillId="0" borderId="0" xfId="0"/>
    <xf numFmtId="0" fontId="28" fillId="0" borderId="0" xfId="0" applyFont="1"/>
    <xf numFmtId="167" fontId="5" fillId="0" borderId="0" xfId="0" applyNumberFormat="1" applyFont="1" applyAlignment="1"/>
    <xf numFmtId="0" fontId="29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166" fontId="0" fillId="0" borderId="0" xfId="0" applyNumberFormat="1" applyFont="1" applyAlignment="1"/>
    <xf numFmtId="0" fontId="5" fillId="5" borderId="1" xfId="0" applyFont="1" applyFill="1" applyBorder="1" applyAlignment="1">
      <alignment horizontal="left" vertical="center" wrapText="1"/>
    </xf>
    <xf numFmtId="166" fontId="5" fillId="0" borderId="0" xfId="10" applyNumberFormat="1" applyFont="1" applyAlignment="1"/>
    <xf numFmtId="0" fontId="30" fillId="0" borderId="0" xfId="0" applyFont="1" applyAlignment="1"/>
    <xf numFmtId="166" fontId="0" fillId="0" borderId="0" xfId="10" applyNumberFormat="1" applyFont="1" applyAlignment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/>
    <xf numFmtId="0" fontId="31" fillId="5" borderId="1" xfId="0" applyFont="1" applyFill="1" applyBorder="1"/>
    <xf numFmtId="0" fontId="32" fillId="5" borderId="1" xfId="727" applyFont="1" applyFill="1" applyBorder="1"/>
    <xf numFmtId="0" fontId="4" fillId="5" borderId="1" xfId="726" applyFont="1" applyFill="1" applyBorder="1" applyAlignment="1">
      <alignment horizontal="left"/>
    </xf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8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9" fontId="10" fillId="0" borderId="0" xfId="10" applyFont="1" applyFill="1" applyBorder="1" applyAlignment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7" fontId="0" fillId="2" borderId="1" xfId="0" applyNumberFormat="1" applyFill="1" applyBorder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1" fillId="2" borderId="1" xfId="10" applyNumberFormat="1" applyFont="1" applyFill="1" applyBorder="1"/>
    <xf numFmtId="166" fontId="5" fillId="2" borderId="1" xfId="10" applyNumberFormat="1" applyFont="1" applyFill="1" applyBorder="1" applyAlignment="1">
      <alignment horizontal="right"/>
    </xf>
    <xf numFmtId="0" fontId="0" fillId="2" borderId="1" xfId="0" applyFill="1" applyBorder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0" fontId="5" fillId="2" borderId="1" xfId="725" applyFont="1" applyFill="1" applyBorder="1" applyAlignment="1"/>
    <xf numFmtId="0" fontId="26" fillId="0" borderId="0" xfId="727" applyFont="1" applyFill="1" applyAlignment="1">
      <alignment wrapText="1"/>
    </xf>
    <xf numFmtId="0" fontId="5" fillId="5" borderId="5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43" fontId="5" fillId="5" borderId="3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/>
    </xf>
    <xf numFmtId="43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5" fillId="5" borderId="1" xfId="725" applyFont="1" applyFill="1" applyBorder="1" applyAlignment="1">
      <alignment horizontal="center" vertical="center"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19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G72"/>
  <sheetViews>
    <sheetView tabSelected="1" zoomScale="119" zoomScaleNormal="115" workbookViewId="0">
      <selection activeCell="F1" sqref="F1:T1048576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4.36328125" style="15" customWidth="1"/>
    <col min="4" max="4" width="30.453125" style="84" customWidth="1"/>
    <col min="5" max="5" width="58.08984375" style="15" customWidth="1"/>
    <col min="6" max="16384" width="14.36328125" style="15"/>
  </cols>
  <sheetData>
    <row r="1" spans="1:6" ht="27" customHeight="1" x14ac:dyDescent="0.35">
      <c r="A1" s="1" t="s">
        <v>100</v>
      </c>
      <c r="B1" s="48" t="s">
        <v>165</v>
      </c>
      <c r="C1" s="95" t="s">
        <v>213</v>
      </c>
      <c r="D1" s="110" t="s">
        <v>214</v>
      </c>
      <c r="E1" s="110" t="s">
        <v>215</v>
      </c>
      <c r="F1" s="96"/>
    </row>
    <row r="2" spans="1:6" ht="16" customHeight="1" x14ac:dyDescent="0.3">
      <c r="A2" s="15" t="s">
        <v>192</v>
      </c>
      <c r="B2" s="48"/>
    </row>
    <row r="3" spans="1:6" ht="16" customHeight="1" x14ac:dyDescent="0.3">
      <c r="A3" s="1"/>
      <c r="B3" s="9" t="s">
        <v>194</v>
      </c>
      <c r="C3" s="73">
        <v>2017</v>
      </c>
    </row>
    <row r="4" spans="1:6" ht="16" customHeight="1" x14ac:dyDescent="0.3">
      <c r="A4" s="1"/>
      <c r="B4" s="12" t="s">
        <v>193</v>
      </c>
      <c r="C4" s="74">
        <v>2030</v>
      </c>
    </row>
    <row r="5" spans="1:6" ht="16" customHeight="1" x14ac:dyDescent="0.3">
      <c r="A5" s="1"/>
      <c r="B5" s="48"/>
    </row>
    <row r="6" spans="1:6" ht="15" customHeight="1" x14ac:dyDescent="0.25">
      <c r="A6" s="15" t="s">
        <v>48</v>
      </c>
    </row>
    <row r="7" spans="1:6" ht="15" customHeight="1" x14ac:dyDescent="0.35">
      <c r="B7" s="9" t="s">
        <v>106</v>
      </c>
      <c r="C7" s="135">
        <v>0.49</v>
      </c>
      <c r="D7" s="108" t="s">
        <v>203</v>
      </c>
      <c r="E7" s="112" t="s">
        <v>251</v>
      </c>
    </row>
    <row r="8" spans="1:6" ht="38.25" customHeight="1" x14ac:dyDescent="0.3">
      <c r="A8" s="106"/>
      <c r="B8" s="12" t="s">
        <v>107</v>
      </c>
      <c r="C8" s="129">
        <v>4.9700000000000001E-2</v>
      </c>
      <c r="D8" s="108" t="s">
        <v>216</v>
      </c>
      <c r="E8" s="111" t="s">
        <v>227</v>
      </c>
    </row>
    <row r="9" spans="1:6" ht="38.25" customHeight="1" x14ac:dyDescent="0.3">
      <c r="A9" s="106"/>
      <c r="B9" s="12"/>
      <c r="C9" s="130">
        <v>2.9100000000000001E-2</v>
      </c>
      <c r="D9" s="108" t="s">
        <v>216</v>
      </c>
      <c r="E9" s="111" t="s">
        <v>228</v>
      </c>
      <c r="F9" s="16"/>
    </row>
    <row r="10" spans="1:6" ht="15" customHeight="1" x14ac:dyDescent="0.3">
      <c r="A10" s="106"/>
      <c r="B10" s="12" t="s">
        <v>105</v>
      </c>
      <c r="C10" s="129">
        <v>0.53339999999999999</v>
      </c>
      <c r="D10" s="108" t="s">
        <v>216</v>
      </c>
      <c r="E10" s="112"/>
    </row>
    <row r="11" spans="1:6" ht="15" customHeight="1" x14ac:dyDescent="0.3">
      <c r="A11" s="106"/>
      <c r="B11" s="9" t="s">
        <v>108</v>
      </c>
      <c r="C11" s="129">
        <v>0.56669999999999998</v>
      </c>
      <c r="D11" s="108" t="s">
        <v>216</v>
      </c>
      <c r="E11" s="112" t="s">
        <v>238</v>
      </c>
    </row>
    <row r="12" spans="1:6" ht="15" customHeight="1" x14ac:dyDescent="0.3">
      <c r="A12" s="106"/>
      <c r="B12" s="9" t="s">
        <v>109</v>
      </c>
      <c r="C12" s="129">
        <v>0.70599999999999996</v>
      </c>
      <c r="D12" s="108" t="s">
        <v>216</v>
      </c>
      <c r="E12" s="112" t="s">
        <v>239</v>
      </c>
    </row>
    <row r="13" spans="1:6" ht="15" customHeight="1" x14ac:dyDescent="0.3">
      <c r="A13" s="106"/>
      <c r="B13" s="9" t="s">
        <v>110</v>
      </c>
      <c r="C13" s="129">
        <v>0.375</v>
      </c>
      <c r="D13" s="108" t="s">
        <v>216</v>
      </c>
      <c r="E13" s="112"/>
    </row>
    <row r="14" spans="1:6" ht="15" customHeight="1" x14ac:dyDescent="0.25">
      <c r="B14" s="15"/>
    </row>
    <row r="15" spans="1:6" ht="15" customHeight="1" x14ac:dyDescent="0.3">
      <c r="A15" s="15" t="s">
        <v>30</v>
      </c>
      <c r="B15" s="21"/>
    </row>
    <row r="16" spans="1:6" ht="15" customHeight="1" x14ac:dyDescent="0.25">
      <c r="B16" s="12" t="s">
        <v>94</v>
      </c>
      <c r="C16" s="130">
        <v>0.59699999999999998</v>
      </c>
      <c r="D16" s="108" t="s">
        <v>249</v>
      </c>
      <c r="E16" s="112" t="s">
        <v>253</v>
      </c>
    </row>
    <row r="17" spans="1:7" ht="15" customHeight="1" x14ac:dyDescent="0.25">
      <c r="B17" s="12" t="s">
        <v>95</v>
      </c>
      <c r="C17" s="130"/>
      <c r="D17" s="146"/>
      <c r="E17" s="112"/>
    </row>
    <row r="18" spans="1:7" ht="15" customHeight="1" x14ac:dyDescent="0.25">
      <c r="B18" s="12" t="s">
        <v>96</v>
      </c>
      <c r="C18" s="130"/>
      <c r="D18" s="146"/>
      <c r="E18" s="112"/>
    </row>
    <row r="19" spans="1:7" ht="15" customHeight="1" x14ac:dyDescent="0.25">
      <c r="B19" s="12" t="s">
        <v>97</v>
      </c>
      <c r="C19" s="130"/>
      <c r="D19" s="146"/>
      <c r="E19" s="112"/>
    </row>
    <row r="20" spans="1:7" ht="15" customHeight="1" x14ac:dyDescent="0.25">
      <c r="B20" s="12" t="s">
        <v>98</v>
      </c>
      <c r="C20" s="105"/>
    </row>
    <row r="21" spans="1:7" ht="15" customHeight="1" x14ac:dyDescent="0.25">
      <c r="B21" s="15"/>
      <c r="C21" s="105"/>
    </row>
    <row r="22" spans="1:7" ht="15" customHeight="1" x14ac:dyDescent="0.25">
      <c r="A22" s="15" t="s">
        <v>99</v>
      </c>
      <c r="C22" s="105"/>
    </row>
    <row r="23" spans="1:7" ht="15" customHeight="1" x14ac:dyDescent="0.35">
      <c r="A23" s="106"/>
      <c r="B23" s="22" t="s">
        <v>101</v>
      </c>
      <c r="C23" s="129">
        <v>0.1411</v>
      </c>
      <c r="D23" s="147" t="s">
        <v>216</v>
      </c>
      <c r="E23" s="113" t="s">
        <v>217</v>
      </c>
      <c r="F23" s="99"/>
    </row>
    <row r="24" spans="1:7" ht="15" customHeight="1" x14ac:dyDescent="0.35">
      <c r="A24" s="106"/>
      <c r="B24" s="22" t="s">
        <v>102</v>
      </c>
      <c r="C24" s="129">
        <v>0.59150000000000003</v>
      </c>
      <c r="D24" s="147"/>
      <c r="E24" s="113" t="s">
        <v>217</v>
      </c>
      <c r="F24" s="99"/>
    </row>
    <row r="25" spans="1:7" ht="15" customHeight="1" x14ac:dyDescent="0.35">
      <c r="A25" s="106"/>
      <c r="B25" s="22" t="s">
        <v>103</v>
      </c>
      <c r="C25" s="129">
        <v>0.24</v>
      </c>
      <c r="D25" s="147"/>
      <c r="E25" s="113" t="s">
        <v>217</v>
      </c>
      <c r="F25" s="99"/>
    </row>
    <row r="26" spans="1:7" ht="15" customHeight="1" x14ac:dyDescent="0.35">
      <c r="A26" s="106"/>
      <c r="B26" s="22" t="s">
        <v>104</v>
      </c>
      <c r="C26" s="129">
        <v>2.7400000000000001E-2</v>
      </c>
      <c r="D26" s="147"/>
      <c r="E26" s="113" t="s">
        <v>217</v>
      </c>
      <c r="F26" s="99"/>
    </row>
    <row r="27" spans="1:7" ht="15" customHeight="1" x14ac:dyDescent="0.25">
      <c r="B27" s="22"/>
      <c r="C27" s="105"/>
    </row>
    <row r="28" spans="1:7" ht="15" customHeight="1" x14ac:dyDescent="0.25">
      <c r="A28" s="15" t="s">
        <v>197</v>
      </c>
      <c r="B28" s="22"/>
      <c r="C28" s="105"/>
      <c r="D28"/>
    </row>
    <row r="29" spans="1:7" ht="14.25" customHeight="1" x14ac:dyDescent="0.3">
      <c r="A29" s="106"/>
      <c r="B29" s="34" t="s">
        <v>75</v>
      </c>
      <c r="C29" s="132">
        <v>0.1782</v>
      </c>
      <c r="D29" s="147" t="s">
        <v>216</v>
      </c>
      <c r="E29" s="142"/>
    </row>
    <row r="30" spans="1:7" ht="14.25" customHeight="1" x14ac:dyDescent="0.35">
      <c r="A30" s="106"/>
      <c r="B30" s="34" t="s">
        <v>76</v>
      </c>
      <c r="C30" s="132">
        <v>8.9200000000000002E-2</v>
      </c>
      <c r="D30" s="147"/>
      <c r="E30" s="143"/>
      <c r="F30" s="99"/>
      <c r="G30" s="98"/>
    </row>
    <row r="31" spans="1:7" ht="14.25" customHeight="1" x14ac:dyDescent="0.35">
      <c r="A31" s="106"/>
      <c r="B31" s="34" t="s">
        <v>77</v>
      </c>
      <c r="C31" s="132">
        <v>0.14899999999999999</v>
      </c>
      <c r="D31" s="147"/>
      <c r="E31" s="143"/>
      <c r="F31" s="99"/>
      <c r="G31" s="98"/>
    </row>
    <row r="32" spans="1:7" ht="14.25" customHeight="1" x14ac:dyDescent="0.3">
      <c r="A32" s="106"/>
      <c r="B32" s="34" t="s">
        <v>78</v>
      </c>
      <c r="C32" s="132">
        <v>0.58350000000000002</v>
      </c>
      <c r="D32" s="147"/>
      <c r="E32" s="144"/>
    </row>
    <row r="33" spans="1:6" ht="13" x14ac:dyDescent="0.25">
      <c r="B33" s="36" t="s">
        <v>130</v>
      </c>
      <c r="C33" s="134"/>
    </row>
    <row r="34" spans="1:6" ht="15" customHeight="1" x14ac:dyDescent="0.25">
      <c r="C34" s="134"/>
    </row>
    <row r="35" spans="1:6" ht="15" customHeight="1" x14ac:dyDescent="0.3">
      <c r="A35" s="4" t="s">
        <v>136</v>
      </c>
      <c r="C35" s="134"/>
    </row>
    <row r="36" spans="1:6" ht="15" customHeight="1" x14ac:dyDescent="0.25">
      <c r="A36" s="15" t="s">
        <v>74</v>
      </c>
      <c r="B36" s="9"/>
      <c r="C36" s="134"/>
      <c r="D36"/>
    </row>
    <row r="37" spans="1:6" ht="15" customHeight="1" x14ac:dyDescent="0.3">
      <c r="A37" s="106"/>
      <c r="B37" s="49" t="s">
        <v>92</v>
      </c>
      <c r="C37" s="133">
        <v>21.857499999999998</v>
      </c>
      <c r="D37" s="147" t="s">
        <v>216</v>
      </c>
      <c r="E37" s="125"/>
      <c r="F37" s="100"/>
    </row>
    <row r="38" spans="1:6" ht="15" customHeight="1" x14ac:dyDescent="0.3">
      <c r="A38" s="106"/>
      <c r="B38" s="19" t="s">
        <v>91</v>
      </c>
      <c r="C38" s="133">
        <v>34.395299999999999</v>
      </c>
      <c r="D38" s="147"/>
      <c r="E38" s="125"/>
      <c r="F38" s="100"/>
    </row>
    <row r="39" spans="1:6" ht="15" customHeight="1" x14ac:dyDescent="0.3">
      <c r="A39" s="106"/>
      <c r="B39" s="19" t="s">
        <v>90</v>
      </c>
      <c r="C39" s="133">
        <v>45.456900000000005</v>
      </c>
      <c r="D39" s="147"/>
      <c r="E39" s="125"/>
      <c r="F39" s="119"/>
    </row>
    <row r="40" spans="1:6" ht="15" customHeight="1" x14ac:dyDescent="0.35">
      <c r="B40" s="19" t="s">
        <v>237</v>
      </c>
      <c r="C40" s="131">
        <v>846</v>
      </c>
      <c r="D40" s="147"/>
      <c r="E40" s="125" t="s">
        <v>245</v>
      </c>
      <c r="F40" s="120"/>
    </row>
    <row r="41" spans="1:6" ht="26.65" customHeight="1" x14ac:dyDescent="0.25">
      <c r="B41" s="19" t="s">
        <v>89</v>
      </c>
      <c r="C41" s="130">
        <v>0.13</v>
      </c>
      <c r="D41" s="104" t="s">
        <v>205</v>
      </c>
      <c r="E41" s="124" t="s">
        <v>254</v>
      </c>
      <c r="F41" s="121"/>
    </row>
    <row r="42" spans="1:6" ht="15" customHeight="1" x14ac:dyDescent="0.25">
      <c r="B42" s="49" t="s">
        <v>93</v>
      </c>
      <c r="C42" s="133">
        <v>27.27</v>
      </c>
      <c r="D42" s="109" t="s">
        <v>240</v>
      </c>
      <c r="E42" s="125" t="s">
        <v>255</v>
      </c>
      <c r="F42" s="122"/>
    </row>
    <row r="43" spans="1:6" ht="15.75" customHeight="1" x14ac:dyDescent="0.25">
      <c r="C43" s="134"/>
      <c r="D43" s="85"/>
      <c r="F43" s="123"/>
    </row>
    <row r="44" spans="1:6" ht="15.75" customHeight="1" x14ac:dyDescent="0.25">
      <c r="A44" s="15" t="s">
        <v>134</v>
      </c>
      <c r="C44" s="134"/>
      <c r="D44"/>
    </row>
    <row r="45" spans="1:6" ht="15.75" customHeight="1" x14ac:dyDescent="0.25">
      <c r="B45" s="19" t="s">
        <v>9</v>
      </c>
      <c r="C45" s="130">
        <v>1.9099999999999999E-2</v>
      </c>
      <c r="D45" s="148" t="s">
        <v>241</v>
      </c>
      <c r="E45" s="145" t="s">
        <v>256</v>
      </c>
    </row>
    <row r="46" spans="1:6" ht="15.75" customHeight="1" x14ac:dyDescent="0.25">
      <c r="B46" s="19" t="s">
        <v>11</v>
      </c>
      <c r="C46" s="130">
        <v>9.98E-2</v>
      </c>
      <c r="D46" s="148"/>
      <c r="E46" s="145"/>
    </row>
    <row r="47" spans="1:6" ht="15.75" customHeight="1" x14ac:dyDescent="0.25">
      <c r="B47" s="19" t="s">
        <v>12</v>
      </c>
      <c r="C47" s="130">
        <v>0.2</v>
      </c>
      <c r="D47" s="148"/>
      <c r="E47" s="145"/>
    </row>
    <row r="48" spans="1:6" ht="15" customHeight="1" x14ac:dyDescent="0.25">
      <c r="B48" s="19" t="s">
        <v>26</v>
      </c>
      <c r="C48" s="126"/>
      <c r="D48" s="85"/>
      <c r="E48" s="20"/>
    </row>
    <row r="49" spans="1:6" ht="15.75" customHeight="1" x14ac:dyDescent="0.25">
      <c r="D49" s="85"/>
    </row>
    <row r="50" spans="1:6" ht="15.75" customHeight="1" x14ac:dyDescent="0.25">
      <c r="A50" s="15" t="s">
        <v>72</v>
      </c>
      <c r="D50"/>
    </row>
    <row r="51" spans="1:6" ht="15.75" customHeight="1" x14ac:dyDescent="0.25">
      <c r="B51" s="19" t="s">
        <v>125</v>
      </c>
      <c r="C51" s="7">
        <v>3.3</v>
      </c>
      <c r="D51" s="148" t="s">
        <v>242</v>
      </c>
      <c r="E51" s="145" t="s">
        <v>257</v>
      </c>
    </row>
    <row r="52" spans="1:6" ht="15" customHeight="1" x14ac:dyDescent="0.25">
      <c r="B52" s="19" t="s">
        <v>126</v>
      </c>
      <c r="C52" s="7">
        <v>3.3</v>
      </c>
      <c r="D52" s="148"/>
      <c r="E52" s="145"/>
    </row>
    <row r="53" spans="1:6" ht="15.75" customHeight="1" x14ac:dyDescent="0.25">
      <c r="B53" s="19" t="s">
        <v>127</v>
      </c>
      <c r="C53" s="7">
        <v>3.3</v>
      </c>
      <c r="D53" s="148"/>
      <c r="E53" s="145"/>
    </row>
    <row r="54" spans="1:6" ht="15.75" customHeight="1" x14ac:dyDescent="0.25">
      <c r="B54" s="19" t="s">
        <v>128</v>
      </c>
      <c r="C54" s="7">
        <v>3.3</v>
      </c>
      <c r="D54" s="148"/>
      <c r="E54" s="145"/>
    </row>
    <row r="55" spans="1:6" ht="15.75" customHeight="1" x14ac:dyDescent="0.25">
      <c r="B55" s="19" t="s">
        <v>129</v>
      </c>
      <c r="C55" s="7">
        <v>3.3</v>
      </c>
      <c r="D55" s="148"/>
      <c r="E55" s="145"/>
    </row>
    <row r="57" spans="1:6" ht="15.75" customHeight="1" x14ac:dyDescent="0.25">
      <c r="A57" s="15" t="s">
        <v>135</v>
      </c>
      <c r="D57"/>
    </row>
    <row r="58" spans="1:6" ht="15.75" customHeight="1" x14ac:dyDescent="0.35">
      <c r="B58" s="9" t="s">
        <v>111</v>
      </c>
      <c r="C58" s="129">
        <v>0.218</v>
      </c>
      <c r="D58" s="108" t="s">
        <v>216</v>
      </c>
      <c r="E58" s="128" t="s">
        <v>218</v>
      </c>
      <c r="F58" s="99"/>
    </row>
    <row r="59" spans="1:6" ht="65.650000000000006" customHeight="1" x14ac:dyDescent="0.25">
      <c r="B59" s="19" t="s">
        <v>133</v>
      </c>
      <c r="C59" s="136">
        <v>0.43519999999999998</v>
      </c>
      <c r="D59" s="104" t="s">
        <v>243</v>
      </c>
      <c r="E59" s="127" t="s">
        <v>244</v>
      </c>
    </row>
    <row r="60" spans="1:6" ht="15.75" customHeight="1" x14ac:dyDescent="0.25">
      <c r="C60" s="105"/>
    </row>
    <row r="61" spans="1:6" ht="15.75" customHeight="1" x14ac:dyDescent="0.3">
      <c r="A61" s="101" t="s">
        <v>219</v>
      </c>
      <c r="C61" s="97"/>
    </row>
    <row r="62" spans="1:6" ht="15.75" customHeight="1" x14ac:dyDescent="0.3">
      <c r="A62" s="106"/>
      <c r="B62" s="29" t="s">
        <v>220</v>
      </c>
      <c r="C62" s="129">
        <v>0.13699999999999998</v>
      </c>
      <c r="D62" s="108" t="s">
        <v>216</v>
      </c>
      <c r="E62" s="112"/>
    </row>
    <row r="63" spans="1:6" ht="15.75" customHeight="1" x14ac:dyDescent="0.3">
      <c r="A63" s="106"/>
      <c r="B63" s="29" t="s">
        <v>221</v>
      </c>
      <c r="C63" s="129">
        <v>0.03</v>
      </c>
      <c r="D63" s="108" t="s">
        <v>216</v>
      </c>
      <c r="E63" s="112"/>
    </row>
    <row r="64" spans="1:6" ht="15.75" customHeight="1" x14ac:dyDescent="0.3">
      <c r="A64" s="106"/>
      <c r="B64" s="102" t="s">
        <v>222</v>
      </c>
      <c r="C64" s="129">
        <v>0</v>
      </c>
      <c r="D64" s="108" t="s">
        <v>216</v>
      </c>
      <c r="E64" s="112"/>
    </row>
    <row r="65" spans="1:5" ht="15.75" customHeight="1" x14ac:dyDescent="0.3">
      <c r="A65" s="106"/>
      <c r="B65" s="102" t="s">
        <v>223</v>
      </c>
      <c r="C65" s="129">
        <v>0.13689999999999999</v>
      </c>
      <c r="D65" s="108" t="s">
        <v>216</v>
      </c>
      <c r="E65" s="112"/>
    </row>
    <row r="66" spans="1:5" ht="15.75" customHeight="1" x14ac:dyDescent="0.3">
      <c r="A66" s="106"/>
      <c r="B66" s="102" t="s">
        <v>224</v>
      </c>
      <c r="C66" s="129">
        <v>0.24340000000000001</v>
      </c>
      <c r="D66" s="108" t="s">
        <v>216</v>
      </c>
      <c r="E66" s="112"/>
    </row>
    <row r="67" spans="1:5" ht="15.75" customHeight="1" x14ac:dyDescent="0.3">
      <c r="A67" s="106"/>
      <c r="B67" s="102" t="s">
        <v>225</v>
      </c>
      <c r="C67" s="129">
        <v>0.3095</v>
      </c>
      <c r="D67" s="108" t="s">
        <v>216</v>
      </c>
      <c r="E67" s="112"/>
    </row>
    <row r="68" spans="1:5" ht="15.75" customHeight="1" x14ac:dyDescent="0.3">
      <c r="A68" s="106"/>
      <c r="B68" s="102" t="s">
        <v>226</v>
      </c>
      <c r="C68" s="129">
        <v>6.59E-2</v>
      </c>
      <c r="D68" s="108" t="s">
        <v>216</v>
      </c>
      <c r="E68" s="112"/>
    </row>
    <row r="69" spans="1:5" ht="15.75" customHeight="1" x14ac:dyDescent="0.25">
      <c r="B69" s="102"/>
      <c r="C69" s="97"/>
    </row>
    <row r="70" spans="1:5" ht="15.75" customHeight="1" x14ac:dyDescent="0.3">
      <c r="A70" s="106"/>
      <c r="B70" s="19" t="s">
        <v>229</v>
      </c>
      <c r="C70" s="129">
        <v>0.13700000000000001</v>
      </c>
      <c r="D70" s="108" t="s">
        <v>216</v>
      </c>
      <c r="E70" s="112"/>
    </row>
    <row r="71" spans="1:5" ht="15.75" customHeight="1" x14ac:dyDescent="0.25">
      <c r="C71" s="105"/>
    </row>
    <row r="72" spans="1:5" ht="15.75" customHeight="1" x14ac:dyDescent="0.25">
      <c r="B72" s="19" t="s">
        <v>250</v>
      </c>
      <c r="C72" s="129">
        <v>0.74980000000000002</v>
      </c>
      <c r="D72" s="108" t="s">
        <v>252</v>
      </c>
      <c r="E72" s="112" t="s">
        <v>251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91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56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56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56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56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56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0.18692596</v>
      </c>
      <c r="C3" s="30">
        <f>frac_mam_1_5months * 2.6</f>
        <v>0.18692596</v>
      </c>
      <c r="D3" s="30">
        <f>frac_mam_6_11months * 2.6</f>
        <v>0</v>
      </c>
      <c r="E3" s="30">
        <f>frac_mam_12_23months * 2.6</f>
        <v>0.11120252000000001</v>
      </c>
      <c r="F3" s="30">
        <f>frac_mam_24_59months * 2.6</f>
        <v>5.1301380000000001E-2</v>
      </c>
    </row>
    <row r="4" spans="1:6" ht="15.75" customHeight="1" x14ac:dyDescent="0.25">
      <c r="A4" s="3" t="s">
        <v>66</v>
      </c>
      <c r="B4" s="30">
        <f>frac_sam_1month * 2.6</f>
        <v>0.10320283999999999</v>
      </c>
      <c r="C4" s="30">
        <f>frac_sam_1_5months * 2.6</f>
        <v>0.10320283999999999</v>
      </c>
      <c r="D4" s="30">
        <f>frac_sam_6_11months * 2.6</f>
        <v>0</v>
      </c>
      <c r="E4" s="30">
        <f>frac_sam_12_23months * 2.6</f>
        <v>4.217096E-2</v>
      </c>
      <c r="F4" s="30">
        <f>frac_sam_24_59months * 2.6</f>
        <v>3.7833120000000005E-2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0.49</v>
      </c>
      <c r="E2" s="40">
        <f>food_insecure</f>
        <v>0.49</v>
      </c>
      <c r="F2" s="40">
        <f>food_insecure</f>
        <v>0.49</v>
      </c>
      <c r="G2" s="40">
        <f>food_insecure</f>
        <v>0.49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0.49</v>
      </c>
      <c r="F5" s="40">
        <f>food_insecure</f>
        <v>0.49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0.49</v>
      </c>
      <c r="F8" s="40">
        <f>food_insecure</f>
        <v>0.49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0.70599999999999996</v>
      </c>
      <c r="E9" s="40">
        <f>IF(ISBLANK(comm_deliv), frac_children_health_facility,1)</f>
        <v>0.70599999999999996</v>
      </c>
      <c r="F9" s="40">
        <f>IF(ISBLANK(comm_deliv), frac_children_health_facility,1)</f>
        <v>0.70599999999999996</v>
      </c>
      <c r="G9" s="40">
        <f>IF(ISBLANK(comm_deliv), frac_children_health_facility,1)</f>
        <v>0.70599999999999996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0.49</v>
      </c>
      <c r="I14" s="40">
        <f>food_insecure</f>
        <v>0.49</v>
      </c>
      <c r="J14" s="40">
        <f>food_insecure</f>
        <v>0.49</v>
      </c>
      <c r="K14" s="40">
        <f>food_insecure</f>
        <v>0.49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0.56669999999999998</v>
      </c>
      <c r="I17" s="40">
        <f>frac_PW_health_facility</f>
        <v>0.56669999999999998</v>
      </c>
      <c r="J17" s="40">
        <f>frac_PW_health_facility</f>
        <v>0.56669999999999998</v>
      </c>
      <c r="K17" s="40">
        <f>frac_PW_health_facility</f>
        <v>0.56669999999999998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4.9700000000000001E-2</v>
      </c>
      <c r="I18" s="40">
        <f>frac_malaria_risk</f>
        <v>4.9700000000000001E-2</v>
      </c>
      <c r="J18" s="40">
        <f>frac_malaria_risk</f>
        <v>4.9700000000000001E-2</v>
      </c>
      <c r="K18" s="40">
        <f>frac_malaria_risk</f>
        <v>4.9700000000000001E-2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0.27664714000000001</v>
      </c>
      <c r="M24" s="40">
        <f>(1-food_insecure)*(0.49)+food_insecure*(0.7)</f>
        <v>0.59289999999999998</v>
      </c>
      <c r="N24" s="40">
        <f>(1-food_insecure)*(0.49)+food_insecure*(0.7)</f>
        <v>0.59289999999999998</v>
      </c>
      <c r="O24" s="40">
        <f>(1-food_insecure)*(0.49)+food_insecure*(0.7)</f>
        <v>0.59289999999999998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0.11856306</v>
      </c>
      <c r="M25" s="40">
        <f>(1-food_insecure)*(0.21)+food_insecure*(0.3)</f>
        <v>0.25409999999999999</v>
      </c>
      <c r="N25" s="40">
        <f>(1-food_insecure)*(0.21)+food_insecure*(0.3)</f>
        <v>0.25409999999999999</v>
      </c>
      <c r="O25" s="40">
        <f>(1-food_insecure)*(0.21)+food_insecure*(0.3)</f>
        <v>0.25409999999999999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7.1389800000000003E-2</v>
      </c>
      <c r="M26" s="40">
        <f>(1-food_insecure)*(0.3)</f>
        <v>0.153</v>
      </c>
      <c r="N26" s="40">
        <f>(1-food_insecure)*(0.3)</f>
        <v>0.153</v>
      </c>
      <c r="O26" s="40">
        <f>(1-food_insecure)*(0.3)</f>
        <v>0.153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0.53339999999999999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4.9700000000000001E-2</v>
      </c>
      <c r="D33" s="40">
        <f t="shared" si="3"/>
        <v>4.9700000000000001E-2</v>
      </c>
      <c r="E33" s="40">
        <f t="shared" si="3"/>
        <v>4.9700000000000001E-2</v>
      </c>
      <c r="F33" s="40">
        <f t="shared" si="3"/>
        <v>4.9700000000000001E-2</v>
      </c>
      <c r="G33" s="40">
        <f t="shared" si="3"/>
        <v>4.9700000000000001E-2</v>
      </c>
      <c r="H33" s="40">
        <f t="shared" si="3"/>
        <v>4.9700000000000001E-2</v>
      </c>
      <c r="I33" s="40">
        <f t="shared" si="3"/>
        <v>4.9700000000000001E-2</v>
      </c>
      <c r="J33" s="40">
        <f t="shared" si="3"/>
        <v>4.9700000000000001E-2</v>
      </c>
      <c r="K33" s="40">
        <f t="shared" si="3"/>
        <v>4.9700000000000001E-2</v>
      </c>
      <c r="L33" s="40">
        <f t="shared" si="3"/>
        <v>4.9700000000000001E-2</v>
      </c>
      <c r="M33" s="40">
        <f t="shared" si="3"/>
        <v>4.9700000000000001E-2</v>
      </c>
      <c r="N33" s="40">
        <f t="shared" si="3"/>
        <v>4.9700000000000001E-2</v>
      </c>
      <c r="O33" s="40">
        <f t="shared" si="3"/>
        <v>4.9700000000000001E-2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Normal="100" workbookViewId="0">
      <selection activeCell="F19" sqref="F19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v>2015</v>
      </c>
      <c r="B2" s="80">
        <v>275517</v>
      </c>
      <c r="C2" s="81">
        <v>1333000</v>
      </c>
      <c r="D2" s="81">
        <v>355000</v>
      </c>
      <c r="E2" s="81">
        <v>569000</v>
      </c>
      <c r="F2" s="81">
        <v>350000</v>
      </c>
      <c r="G2" s="81">
        <v>227000</v>
      </c>
      <c r="H2" s="25">
        <f t="shared" ref="H2:H40" si="0">D2+E2+F2+G2</f>
        <v>1501000</v>
      </c>
      <c r="I2" s="25">
        <f>(B2 + stillbirth*B2/(1000-stillbirth))/(1-abortion)</f>
        <v>325564.34662912809</v>
      </c>
      <c r="J2" s="25">
        <f>H2-I2</f>
        <v>1175435.6533708719</v>
      </c>
    </row>
    <row r="3" spans="1:10" ht="15.75" customHeight="1" x14ac:dyDescent="0.25">
      <c r="A3" s="9">
        <v>2016</v>
      </c>
      <c r="B3" s="80">
        <v>282810.79168294236</v>
      </c>
      <c r="C3" s="81">
        <v>1366467.3259922743</v>
      </c>
      <c r="D3" s="81">
        <v>368709.15993553464</v>
      </c>
      <c r="E3" s="81">
        <v>587607.64928582229</v>
      </c>
      <c r="F3" s="81">
        <v>361889.75032735389</v>
      </c>
      <c r="G3" s="81">
        <v>234096.69567188006</v>
      </c>
      <c r="H3" s="25">
        <f t="shared" si="0"/>
        <v>1552303.2552205909</v>
      </c>
      <c r="I3" s="25">
        <f t="shared" ref="I3:I40" si="1">(B3 + stillbirth*B3/(1000-stillbirth))/(1-abortion)</f>
        <v>334183.04719463253</v>
      </c>
      <c r="J3" s="25">
        <f t="shared" ref="J3:J15" si="2">H3-I3</f>
        <v>1218120.2080259584</v>
      </c>
    </row>
    <row r="4" spans="1:10" ht="15.75" customHeight="1" x14ac:dyDescent="0.25">
      <c r="A4" s="9">
        <v>2017</v>
      </c>
      <c r="B4" s="80">
        <v>290297.67271105823</v>
      </c>
      <c r="C4" s="81">
        <v>1400774.9084804775</v>
      </c>
      <c r="D4" s="81">
        <v>382947.73132497934</v>
      </c>
      <c r="E4" s="81">
        <v>606823.81282813707</v>
      </c>
      <c r="F4" s="81">
        <v>374183.40397712728</v>
      </c>
      <c r="G4" s="81">
        <v>241415.25517397723</v>
      </c>
      <c r="H4" s="25">
        <f t="shared" si="0"/>
        <v>1605370.2033042209</v>
      </c>
      <c r="I4" s="25">
        <f t="shared" si="1"/>
        <v>343029.91156310542</v>
      </c>
      <c r="J4" s="25">
        <f t="shared" si="2"/>
        <v>1262340.2917411155</v>
      </c>
    </row>
    <row r="5" spans="1:10" ht="15.75" customHeight="1" x14ac:dyDescent="0.25">
      <c r="A5" s="9">
        <v>2018</v>
      </c>
      <c r="B5" s="80">
        <v>297982.75475970656</v>
      </c>
      <c r="C5" s="81">
        <v>1435943.8435921913</v>
      </c>
      <c r="D5" s="81">
        <v>397736.15863676608</v>
      </c>
      <c r="E5" s="81">
        <v>626668.39048611862</v>
      </c>
      <c r="F5" s="81">
        <v>386894.68183406285</v>
      </c>
      <c r="G5" s="81">
        <v>248962.61463000803</v>
      </c>
      <c r="H5" s="25">
        <f t="shared" si="0"/>
        <v>1660261.8455869555</v>
      </c>
      <c r="I5" s="25">
        <f t="shared" si="1"/>
        <v>352110.97993986419</v>
      </c>
      <c r="J5" s="25">
        <f t="shared" si="2"/>
        <v>1308150.8656470913</v>
      </c>
    </row>
    <row r="6" spans="1:10" ht="15.75" customHeight="1" x14ac:dyDescent="0.25">
      <c r="A6" s="9">
        <v>2019</v>
      </c>
      <c r="B6" s="80">
        <v>305449.06490863493</v>
      </c>
      <c r="C6" s="81">
        <v>1471520.6087714224</v>
      </c>
      <c r="D6" s="81">
        <v>413193.55605536461</v>
      </c>
      <c r="E6" s="81">
        <v>647504.70521708811</v>
      </c>
      <c r="F6" s="81">
        <v>400128.73236880742</v>
      </c>
      <c r="G6" s="81">
        <v>257149.35308993055</v>
      </c>
      <c r="H6" s="25">
        <f t="shared" si="0"/>
        <v>1717976.3467311906</v>
      </c>
      <c r="I6" s="25">
        <f t="shared" si="1"/>
        <v>360933.53675257007</v>
      </c>
      <c r="J6" s="25">
        <f t="shared" si="2"/>
        <v>1357042.8099786206</v>
      </c>
    </row>
    <row r="7" spans="1:10" ht="15.75" customHeight="1" x14ac:dyDescent="0.25">
      <c r="A7" s="9">
        <v>2020</v>
      </c>
      <c r="B7" s="80">
        <v>312781.84575462667</v>
      </c>
      <c r="C7" s="81">
        <v>1507705.7714786737</v>
      </c>
      <c r="D7" s="81">
        <v>429273.17649340985</v>
      </c>
      <c r="E7" s="81">
        <v>669526.80706748879</v>
      </c>
      <c r="F7" s="81">
        <v>413806.87685203773</v>
      </c>
      <c r="G7" s="81">
        <v>266636.0093258539</v>
      </c>
      <c r="H7" s="25">
        <f t="shared" si="0"/>
        <v>1779242.8697387902</v>
      </c>
      <c r="I7" s="25">
        <f t="shared" si="1"/>
        <v>369598.30881781428</v>
      </c>
      <c r="J7" s="25">
        <f t="shared" si="2"/>
        <v>1409644.5609209759</v>
      </c>
    </row>
    <row r="8" spans="1:10" ht="15.75" customHeight="1" x14ac:dyDescent="0.25">
      <c r="A8" s="9">
        <v>2021</v>
      </c>
      <c r="B8" s="80">
        <v>320695.02583577187</v>
      </c>
      <c r="C8" s="81">
        <v>1543980.6491491827</v>
      </c>
      <c r="D8" s="81">
        <v>445884.00548414589</v>
      </c>
      <c r="E8" s="81">
        <v>692861.5161464134</v>
      </c>
      <c r="F8" s="81">
        <v>427896.81291751232</v>
      </c>
      <c r="G8" s="81">
        <v>275714.59581121238</v>
      </c>
      <c r="H8" s="25">
        <f t="shared" si="0"/>
        <v>1842356.9303592842</v>
      </c>
      <c r="I8" s="25">
        <f t="shared" si="1"/>
        <v>378948.90897271095</v>
      </c>
      <c r="J8" s="25">
        <f t="shared" si="2"/>
        <v>1463408.0213865731</v>
      </c>
    </row>
    <row r="9" spans="1:10" ht="15.75" customHeight="1" x14ac:dyDescent="0.25">
      <c r="A9" s="9">
        <v>2022</v>
      </c>
      <c r="B9" s="80">
        <v>328511.54534449097</v>
      </c>
      <c r="C9" s="81">
        <v>1582966.0090625095</v>
      </c>
      <c r="D9" s="81">
        <v>462978.74489399116</v>
      </c>
      <c r="E9" s="81">
        <v>717510.55140112364</v>
      </c>
      <c r="F9" s="81">
        <v>442388.19702538475</v>
      </c>
      <c r="G9" s="81">
        <v>285200.68885938852</v>
      </c>
      <c r="H9" s="25">
        <f t="shared" si="0"/>
        <v>1908078.182179888</v>
      </c>
      <c r="I9" s="25">
        <f t="shared" si="1"/>
        <v>388185.29027321137</v>
      </c>
      <c r="J9" s="25">
        <f t="shared" si="2"/>
        <v>1519892.8919066766</v>
      </c>
    </row>
    <row r="10" spans="1:10" ht="15.75" customHeight="1" x14ac:dyDescent="0.25">
      <c r="A10" s="9">
        <v>2023</v>
      </c>
      <c r="B10" s="80">
        <v>336487.65503185045</v>
      </c>
      <c r="C10" s="81">
        <v>1621962.5594350062</v>
      </c>
      <c r="D10" s="81">
        <v>480429.36831864913</v>
      </c>
      <c r="E10" s="81">
        <v>743595.48060185683</v>
      </c>
      <c r="F10" s="81">
        <v>457231.85496982821</v>
      </c>
      <c r="G10" s="81">
        <v>295110.46000426705</v>
      </c>
      <c r="H10" s="25">
        <f t="shared" si="0"/>
        <v>1976367.1638946012</v>
      </c>
      <c r="I10" s="25">
        <f t="shared" si="1"/>
        <v>397610.25112501887</v>
      </c>
      <c r="J10" s="25">
        <f t="shared" si="2"/>
        <v>1578756.9127695824</v>
      </c>
    </row>
    <row r="11" spans="1:10" ht="15.75" customHeight="1" x14ac:dyDescent="0.25">
      <c r="A11" s="9">
        <v>2024</v>
      </c>
      <c r="B11" s="80">
        <v>345125.04854517616</v>
      </c>
      <c r="C11" s="81">
        <v>1662140.3249420808</v>
      </c>
      <c r="D11" s="81">
        <v>498103.80834823579</v>
      </c>
      <c r="E11" s="81">
        <v>771247.89871121093</v>
      </c>
      <c r="F11" s="81">
        <v>472427.44761838851</v>
      </c>
      <c r="G11" s="81">
        <v>305443.74833506305</v>
      </c>
      <c r="H11" s="25">
        <f t="shared" si="0"/>
        <v>2047222.9030128983</v>
      </c>
      <c r="I11" s="25">
        <f t="shared" si="1"/>
        <v>407816.61725031986</v>
      </c>
      <c r="J11" s="25">
        <f t="shared" si="2"/>
        <v>1639406.2857625785</v>
      </c>
    </row>
    <row r="12" spans="1:10" ht="15.75" customHeight="1" x14ac:dyDescent="0.25">
      <c r="A12" s="9">
        <v>2025</v>
      </c>
      <c r="B12" s="80">
        <v>354089.90262712649</v>
      </c>
      <c r="C12" s="81">
        <v>1703950.5584586267</v>
      </c>
      <c r="D12" s="81">
        <v>515921.79591721657</v>
      </c>
      <c r="E12" s="81">
        <v>800540.76549074205</v>
      </c>
      <c r="F12" s="81">
        <v>488068.49074525054</v>
      </c>
      <c r="G12" s="81">
        <v>316156.46429670759</v>
      </c>
      <c r="H12" s="25">
        <f t="shared" si="0"/>
        <v>2120687.5164499166</v>
      </c>
      <c r="I12" s="25">
        <f t="shared" si="1"/>
        <v>418409.92678046005</v>
      </c>
      <c r="J12" s="25">
        <f t="shared" si="2"/>
        <v>1702277.5896694567</v>
      </c>
    </row>
    <row r="13" spans="1:10" ht="15.75" customHeight="1" x14ac:dyDescent="0.25">
      <c r="A13" s="9">
        <v>2026</v>
      </c>
      <c r="B13" s="80">
        <v>362815.50218129542</v>
      </c>
      <c r="C13" s="81">
        <v>1746407.5431282104</v>
      </c>
      <c r="D13" s="81">
        <v>533736.75273200672</v>
      </c>
      <c r="E13" s="81">
        <v>831307.53405019594</v>
      </c>
      <c r="F13" s="81">
        <v>504179.31710398727</v>
      </c>
      <c r="G13" s="81">
        <v>327214.41434740456</v>
      </c>
      <c r="H13" s="25">
        <f t="shared" si="0"/>
        <v>2196438.0182335945</v>
      </c>
      <c r="I13" s="25">
        <f t="shared" si="1"/>
        <v>428720.52147262206</v>
      </c>
      <c r="J13" s="25">
        <f t="shared" si="2"/>
        <v>1767717.4967609723</v>
      </c>
    </row>
    <row r="14" spans="1:10" ht="15.75" customHeight="1" x14ac:dyDescent="0.25">
      <c r="A14" s="9">
        <v>2027</v>
      </c>
      <c r="B14" s="80">
        <v>372610.90504110686</v>
      </c>
      <c r="C14" s="81">
        <v>1790865.2288654135</v>
      </c>
      <c r="D14" s="81">
        <v>551493.11496577738</v>
      </c>
      <c r="E14" s="81">
        <v>863402.66685474012</v>
      </c>
      <c r="F14" s="81">
        <v>520877.35130678903</v>
      </c>
      <c r="G14" s="81">
        <v>338672.95179716742</v>
      </c>
      <c r="H14" s="25">
        <f t="shared" si="0"/>
        <v>2274446.0849244739</v>
      </c>
      <c r="I14" s="25">
        <f t="shared" si="1"/>
        <v>440295.24801226793</v>
      </c>
      <c r="J14" s="25">
        <f t="shared" si="2"/>
        <v>1834150.8369122059</v>
      </c>
    </row>
    <row r="15" spans="1:10" ht="15.75" customHeight="1" x14ac:dyDescent="0.25">
      <c r="A15" s="9">
        <v>2028</v>
      </c>
      <c r="B15" s="80">
        <v>381723.75700581592</v>
      </c>
      <c r="C15" s="81">
        <v>1836462.4285389211</v>
      </c>
      <c r="D15" s="81">
        <v>569143.58448494691</v>
      </c>
      <c r="E15" s="81">
        <v>896602.60526327079</v>
      </c>
      <c r="F15" s="81">
        <v>538295.2789262752</v>
      </c>
      <c r="G15" s="81">
        <v>350563.45424905617</v>
      </c>
      <c r="H15" s="25">
        <f t="shared" si="0"/>
        <v>2354604.9229235491</v>
      </c>
      <c r="I15" s="25">
        <f t="shared" si="1"/>
        <v>451063.43907059997</v>
      </c>
      <c r="J15" s="25">
        <f t="shared" si="2"/>
        <v>1903541.483852949</v>
      </c>
    </row>
    <row r="16" spans="1:10" ht="15.75" customHeight="1" x14ac:dyDescent="0.25">
      <c r="A16" s="9">
        <v>2029</v>
      </c>
      <c r="B16" s="8">
        <v>391308.66817725135</v>
      </c>
      <c r="C16" s="24">
        <v>1883071.1692054078</v>
      </c>
      <c r="D16" s="24">
        <v>586631.77089336189</v>
      </c>
      <c r="E16" s="24">
        <v>930724.18589533609</v>
      </c>
      <c r="F16" s="24">
        <v>556576.12907491147</v>
      </c>
      <c r="G16" s="24">
        <v>362906.19646197127</v>
      </c>
      <c r="H16" s="25">
        <f t="shared" si="0"/>
        <v>2436838.2823255807</v>
      </c>
      <c r="I16" s="25">
        <f t="shared" si="1"/>
        <v>462389.4383484181</v>
      </c>
      <c r="J16" s="25">
        <f t="shared" ref="J16:J40" si="3">H16-I16</f>
        <v>1974448.8439771626</v>
      </c>
    </row>
    <row r="17" spans="1:10" ht="15.75" customHeight="1" x14ac:dyDescent="0.25">
      <c r="A17" s="9">
        <v>2030</v>
      </c>
      <c r="B17" s="8">
        <v>404896.66931296483</v>
      </c>
      <c r="C17" s="24">
        <v>1934529.874005026</v>
      </c>
      <c r="D17" s="24">
        <v>603721.09168207843</v>
      </c>
      <c r="E17" s="24">
        <v>965645.17250120814</v>
      </c>
      <c r="F17" s="24">
        <v>575895.74193008617</v>
      </c>
      <c r="G17" s="24">
        <v>375666.8239833315</v>
      </c>
      <c r="H17" s="25">
        <f t="shared" si="0"/>
        <v>2520928.8300967044</v>
      </c>
      <c r="I17" s="25">
        <f t="shared" si="1"/>
        <v>478445.68428512767</v>
      </c>
      <c r="J17" s="25">
        <f t="shared" si="3"/>
        <v>2042483.1458115769</v>
      </c>
    </row>
    <row r="18" spans="1:10" ht="15.75" customHeight="1" x14ac:dyDescent="0.25">
      <c r="A18" s="9" t="str">
        <f t="shared" ref="A3:A40" si="4">IF($A$2+ROW(A18)-2&lt;=end_year,A17+1,"")</f>
        <v/>
      </c>
      <c r="B18" s="8"/>
      <c r="C18" s="24"/>
      <c r="D18" s="24"/>
      <c r="E18" s="24"/>
      <c r="F18" s="24"/>
      <c r="G18" s="24"/>
      <c r="H18" s="25">
        <f t="shared" si="0"/>
        <v>0</v>
      </c>
      <c r="I18" s="25">
        <f t="shared" si="1"/>
        <v>0</v>
      </c>
      <c r="J18" s="25">
        <f t="shared" si="3"/>
        <v>0</v>
      </c>
    </row>
    <row r="19" spans="1:10" ht="15.75" customHeight="1" x14ac:dyDescent="0.25">
      <c r="A19" s="9" t="str">
        <f t="shared" si="4"/>
        <v/>
      </c>
      <c r="B19" s="8"/>
      <c r="C19" s="24"/>
      <c r="D19" s="24"/>
      <c r="E19" s="24"/>
      <c r="F19" s="24"/>
      <c r="G19" s="24"/>
      <c r="H19" s="25">
        <f t="shared" si="0"/>
        <v>0</v>
      </c>
      <c r="I19" s="25">
        <f t="shared" si="1"/>
        <v>0</v>
      </c>
      <c r="J19" s="25">
        <f t="shared" si="3"/>
        <v>0</v>
      </c>
    </row>
    <row r="20" spans="1:10" ht="15.75" customHeight="1" x14ac:dyDescent="0.25">
      <c r="A20" s="9" t="str">
        <f t="shared" si="4"/>
        <v/>
      </c>
      <c r="B20" s="8"/>
      <c r="C20" s="24"/>
      <c r="D20" s="24"/>
      <c r="E20" s="24"/>
      <c r="F20" s="24"/>
      <c r="G20" s="24"/>
      <c r="H20" s="25">
        <f t="shared" si="0"/>
        <v>0</v>
      </c>
      <c r="I20" s="25">
        <f t="shared" si="1"/>
        <v>0</v>
      </c>
      <c r="J20" s="25">
        <f t="shared" si="3"/>
        <v>0</v>
      </c>
    </row>
    <row r="21" spans="1:10" ht="15.75" customHeight="1" x14ac:dyDescent="0.25">
      <c r="A21" s="9" t="str">
        <f t="shared" si="4"/>
        <v/>
      </c>
      <c r="B21" s="8"/>
      <c r="C21" s="24"/>
      <c r="D21" s="24"/>
      <c r="E21" s="24"/>
      <c r="F21" s="24"/>
      <c r="G21" s="24"/>
      <c r="H21" s="25">
        <f t="shared" si="0"/>
        <v>0</v>
      </c>
      <c r="I21" s="25">
        <f t="shared" si="1"/>
        <v>0</v>
      </c>
      <c r="J21" s="25">
        <f t="shared" si="3"/>
        <v>0</v>
      </c>
    </row>
    <row r="22" spans="1:10" ht="15.75" customHeight="1" x14ac:dyDescent="0.25">
      <c r="A22" s="9" t="str">
        <f t="shared" si="4"/>
        <v/>
      </c>
      <c r="B22" s="8"/>
      <c r="C22" s="24"/>
      <c r="D22" s="24"/>
      <c r="E22" s="24"/>
      <c r="F22" s="24"/>
      <c r="G22" s="24"/>
      <c r="H22" s="25">
        <f t="shared" si="0"/>
        <v>0</v>
      </c>
      <c r="I22" s="25">
        <f t="shared" si="1"/>
        <v>0</v>
      </c>
      <c r="J22" s="25">
        <f t="shared" si="3"/>
        <v>0</v>
      </c>
    </row>
    <row r="23" spans="1:10" ht="15.75" customHeight="1" x14ac:dyDescent="0.25">
      <c r="A23" s="9" t="str">
        <f t="shared" si="4"/>
        <v/>
      </c>
      <c r="B23" s="8"/>
      <c r="C23" s="24"/>
      <c r="D23" s="24"/>
      <c r="E23" s="24"/>
      <c r="F23" s="24"/>
      <c r="G23" s="24"/>
      <c r="H23" s="25">
        <f t="shared" si="0"/>
        <v>0</v>
      </c>
      <c r="I23" s="25">
        <f t="shared" si="1"/>
        <v>0</v>
      </c>
      <c r="J23" s="25">
        <f t="shared" si="3"/>
        <v>0</v>
      </c>
    </row>
    <row r="24" spans="1:10" ht="15.75" customHeight="1" x14ac:dyDescent="0.25">
      <c r="A24" s="9" t="str">
        <f t="shared" si="4"/>
        <v/>
      </c>
      <c r="B24" s="8"/>
      <c r="C24" s="24"/>
      <c r="D24" s="24"/>
      <c r="E24" s="24"/>
      <c r="F24" s="24"/>
      <c r="G24" s="24"/>
      <c r="H24" s="25">
        <f t="shared" si="0"/>
        <v>0</v>
      </c>
      <c r="I24" s="25">
        <f t="shared" si="1"/>
        <v>0</v>
      </c>
      <c r="J24" s="25">
        <f t="shared" si="3"/>
        <v>0</v>
      </c>
    </row>
    <row r="25" spans="1:10" ht="15.75" customHeight="1" x14ac:dyDescent="0.25">
      <c r="A25" s="9" t="str">
        <f t="shared" si="4"/>
        <v/>
      </c>
      <c r="B25" s="8"/>
      <c r="C25" s="24"/>
      <c r="D25" s="24"/>
      <c r="E25" s="24"/>
      <c r="F25" s="24"/>
      <c r="G25" s="24"/>
      <c r="H25" s="25">
        <f t="shared" si="0"/>
        <v>0</v>
      </c>
      <c r="I25" s="25">
        <f t="shared" si="1"/>
        <v>0</v>
      </c>
      <c r="J25" s="25">
        <f t="shared" si="3"/>
        <v>0</v>
      </c>
    </row>
    <row r="26" spans="1:10" ht="15.75" customHeight="1" x14ac:dyDescent="0.25">
      <c r="A26" s="9" t="str">
        <f t="shared" si="4"/>
        <v/>
      </c>
      <c r="B26" s="8"/>
      <c r="C26" s="24"/>
      <c r="D26" s="24"/>
      <c r="E26" s="24"/>
      <c r="F26" s="24"/>
      <c r="G26" s="24"/>
      <c r="H26" s="25">
        <f t="shared" si="0"/>
        <v>0</v>
      </c>
      <c r="I26" s="25">
        <f t="shared" si="1"/>
        <v>0</v>
      </c>
      <c r="J26" s="25">
        <f t="shared" si="3"/>
        <v>0</v>
      </c>
    </row>
    <row r="27" spans="1:10" ht="15.75" customHeight="1" x14ac:dyDescent="0.25">
      <c r="A27" s="9" t="str">
        <f t="shared" si="4"/>
        <v/>
      </c>
      <c r="B27" s="8"/>
      <c r="C27" s="24"/>
      <c r="D27" s="24"/>
      <c r="E27" s="24"/>
      <c r="F27" s="24"/>
      <c r="G27" s="24"/>
      <c r="H27" s="25">
        <f t="shared" si="0"/>
        <v>0</v>
      </c>
      <c r="I27" s="25">
        <f t="shared" si="1"/>
        <v>0</v>
      </c>
      <c r="J27" s="25">
        <f t="shared" si="3"/>
        <v>0</v>
      </c>
    </row>
    <row r="28" spans="1:10" ht="15.75" customHeight="1" x14ac:dyDescent="0.25">
      <c r="A28" s="9" t="str">
        <f t="shared" si="4"/>
        <v/>
      </c>
      <c r="B28" s="8"/>
      <c r="C28" s="24"/>
      <c r="D28" s="24"/>
      <c r="E28" s="24"/>
      <c r="F28" s="24"/>
      <c r="G28" s="24"/>
      <c r="H28" s="25">
        <f t="shared" si="0"/>
        <v>0</v>
      </c>
      <c r="I28" s="25">
        <f t="shared" si="1"/>
        <v>0</v>
      </c>
      <c r="J28" s="25">
        <f t="shared" si="3"/>
        <v>0</v>
      </c>
    </row>
    <row r="29" spans="1:10" ht="15.75" customHeight="1" x14ac:dyDescent="0.25">
      <c r="A29" s="9" t="str">
        <f t="shared" si="4"/>
        <v/>
      </c>
      <c r="B29" s="8"/>
      <c r="C29" s="24"/>
      <c r="D29" s="24"/>
      <c r="E29" s="24"/>
      <c r="F29" s="24"/>
      <c r="G29" s="24"/>
      <c r="H29" s="25">
        <f t="shared" si="0"/>
        <v>0</v>
      </c>
      <c r="I29" s="25">
        <f t="shared" si="1"/>
        <v>0</v>
      </c>
      <c r="J29" s="25">
        <f t="shared" si="3"/>
        <v>0</v>
      </c>
    </row>
    <row r="30" spans="1:10" ht="15.75" customHeight="1" x14ac:dyDescent="0.25">
      <c r="A30" s="9" t="str">
        <f t="shared" si="4"/>
        <v/>
      </c>
      <c r="B30" s="8"/>
      <c r="C30" s="24"/>
      <c r="D30" s="24"/>
      <c r="E30" s="24"/>
      <c r="F30" s="24"/>
      <c r="G30" s="24"/>
      <c r="H30" s="25">
        <f t="shared" si="0"/>
        <v>0</v>
      </c>
      <c r="I30" s="25">
        <f t="shared" si="1"/>
        <v>0</v>
      </c>
      <c r="J30" s="25">
        <f t="shared" si="3"/>
        <v>0</v>
      </c>
    </row>
    <row r="31" spans="1:10" ht="15.75" customHeight="1" x14ac:dyDescent="0.25">
      <c r="A31" s="9" t="str">
        <f t="shared" si="4"/>
        <v/>
      </c>
      <c r="B31" s="8"/>
      <c r="C31" s="24"/>
      <c r="D31" s="24"/>
      <c r="E31" s="24"/>
      <c r="F31" s="24"/>
      <c r="G31" s="24"/>
      <c r="H31" s="25">
        <f t="shared" si="0"/>
        <v>0</v>
      </c>
      <c r="I31" s="25">
        <f t="shared" si="1"/>
        <v>0</v>
      </c>
      <c r="J31" s="25">
        <f t="shared" si="3"/>
        <v>0</v>
      </c>
    </row>
    <row r="32" spans="1:10" ht="15.75" customHeight="1" x14ac:dyDescent="0.25">
      <c r="A32" s="9" t="str">
        <f t="shared" si="4"/>
        <v/>
      </c>
      <c r="B32" s="8"/>
      <c r="C32" s="24"/>
      <c r="D32" s="24"/>
      <c r="E32" s="24"/>
      <c r="F32" s="24"/>
      <c r="G32" s="24"/>
      <c r="H32" s="25">
        <f t="shared" si="0"/>
        <v>0</v>
      </c>
      <c r="I32" s="25">
        <f t="shared" si="1"/>
        <v>0</v>
      </c>
      <c r="J32" s="25">
        <f t="shared" si="3"/>
        <v>0</v>
      </c>
    </row>
    <row r="33" spans="1:10" ht="15.75" customHeight="1" x14ac:dyDescent="0.25">
      <c r="A33" s="9" t="str">
        <f t="shared" si="4"/>
        <v/>
      </c>
      <c r="B33" s="8"/>
      <c r="C33" s="24"/>
      <c r="D33" s="24"/>
      <c r="E33" s="24"/>
      <c r="F33" s="24"/>
      <c r="G33" s="24"/>
      <c r="H33" s="25">
        <f t="shared" si="0"/>
        <v>0</v>
      </c>
      <c r="I33" s="25">
        <f t="shared" si="1"/>
        <v>0</v>
      </c>
      <c r="J33" s="25">
        <f t="shared" si="3"/>
        <v>0</v>
      </c>
    </row>
    <row r="34" spans="1:10" ht="15.75" customHeight="1" x14ac:dyDescent="0.25">
      <c r="A34" s="9" t="str">
        <f t="shared" si="4"/>
        <v/>
      </c>
      <c r="B34" s="8"/>
      <c r="C34" s="24"/>
      <c r="D34" s="24"/>
      <c r="E34" s="24"/>
      <c r="F34" s="24"/>
      <c r="G34" s="24"/>
      <c r="H34" s="25">
        <f t="shared" si="0"/>
        <v>0</v>
      </c>
      <c r="I34" s="25">
        <f t="shared" si="1"/>
        <v>0</v>
      </c>
      <c r="J34" s="25">
        <f t="shared" si="3"/>
        <v>0</v>
      </c>
    </row>
    <row r="35" spans="1:10" ht="15.75" customHeight="1" x14ac:dyDescent="0.25">
      <c r="A35" s="9" t="str">
        <f t="shared" si="4"/>
        <v/>
      </c>
      <c r="B35" s="8"/>
      <c r="C35" s="24"/>
      <c r="D35" s="24"/>
      <c r="E35" s="24"/>
      <c r="F35" s="24"/>
      <c r="G35" s="24"/>
      <c r="H35" s="25">
        <f t="shared" si="0"/>
        <v>0</v>
      </c>
      <c r="I35" s="25">
        <f t="shared" si="1"/>
        <v>0</v>
      </c>
      <c r="J35" s="25">
        <f t="shared" si="3"/>
        <v>0</v>
      </c>
    </row>
    <row r="36" spans="1:10" ht="15.75" customHeight="1" x14ac:dyDescent="0.25">
      <c r="A36" s="9" t="str">
        <f t="shared" si="4"/>
        <v/>
      </c>
      <c r="B36" s="8"/>
      <c r="C36" s="24"/>
      <c r="D36" s="24"/>
      <c r="E36" s="24"/>
      <c r="F36" s="24"/>
      <c r="G36" s="24"/>
      <c r="H36" s="25">
        <f t="shared" si="0"/>
        <v>0</v>
      </c>
      <c r="I36" s="25">
        <f t="shared" si="1"/>
        <v>0</v>
      </c>
      <c r="J36" s="25">
        <f t="shared" si="3"/>
        <v>0</v>
      </c>
    </row>
    <row r="37" spans="1:10" ht="15.75" customHeight="1" x14ac:dyDescent="0.25">
      <c r="A37" s="9" t="str">
        <f t="shared" si="4"/>
        <v/>
      </c>
      <c r="B37" s="8"/>
      <c r="C37" s="24"/>
      <c r="D37" s="24"/>
      <c r="E37" s="24"/>
      <c r="F37" s="24"/>
      <c r="G37" s="24"/>
      <c r="H37" s="25">
        <f t="shared" si="0"/>
        <v>0</v>
      </c>
      <c r="I37" s="25">
        <f t="shared" si="1"/>
        <v>0</v>
      </c>
      <c r="J37" s="25">
        <f t="shared" si="3"/>
        <v>0</v>
      </c>
    </row>
    <row r="38" spans="1:10" ht="15.75" customHeight="1" x14ac:dyDescent="0.25">
      <c r="A38" s="9" t="str">
        <f t="shared" si="4"/>
        <v/>
      </c>
      <c r="B38" s="8"/>
      <c r="C38" s="24"/>
      <c r="D38" s="24"/>
      <c r="E38" s="24"/>
      <c r="F38" s="24"/>
      <c r="G38" s="24"/>
      <c r="H38" s="25">
        <f t="shared" si="0"/>
        <v>0</v>
      </c>
      <c r="I38" s="25">
        <f t="shared" si="1"/>
        <v>0</v>
      </c>
      <c r="J38" s="25">
        <f t="shared" si="3"/>
        <v>0</v>
      </c>
    </row>
    <row r="39" spans="1:10" ht="15.75" customHeight="1" x14ac:dyDescent="0.25">
      <c r="A39" s="9" t="str">
        <f t="shared" si="4"/>
        <v/>
      </c>
      <c r="B39" s="8"/>
      <c r="C39" s="24"/>
      <c r="D39" s="24"/>
      <c r="E39" s="24"/>
      <c r="F39" s="24"/>
      <c r="G39" s="24"/>
      <c r="H39" s="25">
        <f t="shared" si="0"/>
        <v>0</v>
      </c>
      <c r="I39" s="25">
        <f t="shared" si="1"/>
        <v>0</v>
      </c>
      <c r="J39" s="25">
        <f t="shared" si="3"/>
        <v>0</v>
      </c>
    </row>
    <row r="40" spans="1:10" ht="15.75" customHeight="1" x14ac:dyDescent="0.25">
      <c r="A40" s="9" t="str">
        <f t="shared" si="4"/>
        <v/>
      </c>
      <c r="B40" s="8"/>
      <c r="C40" s="24"/>
      <c r="D40" s="24"/>
      <c r="E40" s="24"/>
      <c r="F40" s="24"/>
      <c r="G40" s="24"/>
      <c r="H40" s="25">
        <f t="shared" si="0"/>
        <v>0</v>
      </c>
      <c r="I40" s="25">
        <f t="shared" si="1"/>
        <v>0</v>
      </c>
      <c r="J40" s="25">
        <f t="shared" si="3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6" t="s">
        <v>204</v>
      </c>
    </row>
    <row r="2" spans="1:8" ht="15.75" customHeight="1" x14ac:dyDescent="0.25">
      <c r="A2" s="27" t="s">
        <v>73</v>
      </c>
      <c r="B2" s="82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49" t="s">
        <v>206</v>
      </c>
    </row>
    <row r="3" spans="1:8" ht="15.75" customHeight="1" x14ac:dyDescent="0.25">
      <c r="A3" s="27" t="s">
        <v>7</v>
      </c>
      <c r="B3" s="82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50"/>
    </row>
    <row r="4" spans="1:8" ht="15.75" customHeight="1" x14ac:dyDescent="0.25">
      <c r="A4" s="27" t="s">
        <v>8</v>
      </c>
      <c r="B4" s="82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50"/>
    </row>
    <row r="5" spans="1:8" ht="15.75" customHeight="1" x14ac:dyDescent="0.25">
      <c r="A5" s="27" t="s">
        <v>10</v>
      </c>
      <c r="B5" s="82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50"/>
    </row>
    <row r="6" spans="1:8" ht="15.75" customHeight="1" x14ac:dyDescent="0.25">
      <c r="A6" s="27" t="s">
        <v>13</v>
      </c>
      <c r="B6" s="82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50"/>
    </row>
    <row r="7" spans="1:8" ht="15.75" customHeight="1" x14ac:dyDescent="0.25">
      <c r="A7" s="27" t="s">
        <v>14</v>
      </c>
      <c r="B7" s="82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50"/>
    </row>
    <row r="8" spans="1:8" ht="15.75" customHeight="1" x14ac:dyDescent="0.25">
      <c r="A8" s="27" t="s">
        <v>27</v>
      </c>
      <c r="B8" s="82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50"/>
    </row>
    <row r="9" spans="1:8" ht="15.75" customHeight="1" x14ac:dyDescent="0.25">
      <c r="A9" s="27" t="s">
        <v>15</v>
      </c>
      <c r="B9" s="82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50"/>
    </row>
    <row r="10" spans="1:8" ht="15.75" customHeight="1" x14ac:dyDescent="0.25">
      <c r="A10" s="27" t="s">
        <v>71</v>
      </c>
      <c r="B10" s="28">
        <v>0</v>
      </c>
      <c r="C10" s="82">
        <v>0.15160000000000001</v>
      </c>
      <c r="D10" s="82">
        <v>0.15160000000000001</v>
      </c>
      <c r="E10" s="82">
        <v>0.15160000000000001</v>
      </c>
      <c r="F10" s="82">
        <v>0.15160000000000001</v>
      </c>
      <c r="G10" s="28">
        <v>0</v>
      </c>
      <c r="H10" s="150"/>
    </row>
    <row r="11" spans="1:8" ht="15.75" customHeight="1" x14ac:dyDescent="0.25">
      <c r="A11" s="27" t="s">
        <v>16</v>
      </c>
      <c r="B11" s="28">
        <v>0</v>
      </c>
      <c r="C11" s="82">
        <v>0.19289999999999999</v>
      </c>
      <c r="D11" s="82">
        <v>0.19289999999999999</v>
      </c>
      <c r="E11" s="82">
        <v>0.19289999999999999</v>
      </c>
      <c r="F11" s="82">
        <v>0.19289999999999999</v>
      </c>
      <c r="G11" s="28">
        <v>0</v>
      </c>
      <c r="H11" s="150"/>
    </row>
    <row r="12" spans="1:8" ht="15.75" customHeight="1" x14ac:dyDescent="0.25">
      <c r="A12" s="27" t="s">
        <v>17</v>
      </c>
      <c r="B12" s="28">
        <v>0</v>
      </c>
      <c r="C12" s="82">
        <v>3.7999999999999999E-2</v>
      </c>
      <c r="D12" s="82">
        <v>3.7999999999999999E-2</v>
      </c>
      <c r="E12" s="82">
        <v>3.7999999999999999E-2</v>
      </c>
      <c r="F12" s="82">
        <v>3.7999999999999999E-2</v>
      </c>
      <c r="G12" s="28">
        <v>0</v>
      </c>
      <c r="H12" s="150"/>
    </row>
    <row r="13" spans="1:8" ht="15.75" customHeight="1" x14ac:dyDescent="0.25">
      <c r="A13" s="27" t="s">
        <v>18</v>
      </c>
      <c r="B13" s="28">
        <v>0</v>
      </c>
      <c r="C13" s="82">
        <v>4.5499999999999999E-2</v>
      </c>
      <c r="D13" s="82">
        <v>4.5499999999999999E-2</v>
      </c>
      <c r="E13" s="82">
        <v>4.5499999999999999E-2</v>
      </c>
      <c r="F13" s="82">
        <v>4.5499999999999999E-2</v>
      </c>
      <c r="G13" s="28">
        <v>0</v>
      </c>
      <c r="H13" s="150"/>
    </row>
    <row r="14" spans="1:8" ht="15.75" customHeight="1" x14ac:dyDescent="0.25">
      <c r="A14" s="27" t="s">
        <v>19</v>
      </c>
      <c r="B14" s="28">
        <v>0</v>
      </c>
      <c r="C14" s="82">
        <v>0.1739</v>
      </c>
      <c r="D14" s="82">
        <v>0.1739</v>
      </c>
      <c r="E14" s="82">
        <v>0.1739</v>
      </c>
      <c r="F14" s="82">
        <v>0.1739</v>
      </c>
      <c r="G14" s="28">
        <v>0</v>
      </c>
      <c r="H14" s="150"/>
    </row>
    <row r="15" spans="1:8" ht="15.75" customHeight="1" x14ac:dyDescent="0.25">
      <c r="A15" s="27" t="s">
        <v>20</v>
      </c>
      <c r="B15" s="28">
        <v>0</v>
      </c>
      <c r="C15" s="82">
        <v>1.32E-2</v>
      </c>
      <c r="D15" s="82">
        <v>1.32E-2</v>
      </c>
      <c r="E15" s="82">
        <v>1.32E-2</v>
      </c>
      <c r="F15" s="82">
        <v>1.32E-2</v>
      </c>
      <c r="G15" s="28">
        <v>0</v>
      </c>
      <c r="H15" s="150"/>
    </row>
    <row r="16" spans="1:8" ht="15.75" customHeight="1" x14ac:dyDescent="0.25">
      <c r="A16" s="27" t="s">
        <v>21</v>
      </c>
      <c r="B16" s="28">
        <v>0</v>
      </c>
      <c r="C16" s="82">
        <v>7.7000000000000002E-3</v>
      </c>
      <c r="D16" s="82">
        <v>7.7000000000000002E-3</v>
      </c>
      <c r="E16" s="82">
        <v>7.7000000000000002E-3</v>
      </c>
      <c r="F16" s="82">
        <v>7.7000000000000002E-3</v>
      </c>
      <c r="G16" s="28">
        <v>0</v>
      </c>
      <c r="H16" s="150"/>
    </row>
    <row r="17" spans="1:8" ht="15.75" customHeight="1" x14ac:dyDescent="0.25">
      <c r="A17" s="27" t="s">
        <v>22</v>
      </c>
      <c r="B17" s="28">
        <v>0</v>
      </c>
      <c r="C17" s="82">
        <v>7.8600000000000003E-2</v>
      </c>
      <c r="D17" s="82">
        <v>7.8600000000000003E-2</v>
      </c>
      <c r="E17" s="82">
        <v>7.8600000000000003E-2</v>
      </c>
      <c r="F17" s="82">
        <v>7.8600000000000003E-2</v>
      </c>
      <c r="G17" s="28">
        <v>0</v>
      </c>
      <c r="H17" s="150"/>
    </row>
    <row r="18" spans="1:8" ht="15.75" customHeight="1" x14ac:dyDescent="0.25">
      <c r="A18" s="27" t="s">
        <v>23</v>
      </c>
      <c r="B18" s="28">
        <v>0</v>
      </c>
      <c r="C18" s="82">
        <v>0.29859999999999998</v>
      </c>
      <c r="D18" s="82">
        <v>0.29859999999999998</v>
      </c>
      <c r="E18" s="82">
        <v>0.29859999999999998</v>
      </c>
      <c r="F18" s="82">
        <v>0.29859999999999998</v>
      </c>
      <c r="G18" s="28">
        <v>0</v>
      </c>
      <c r="H18" s="150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3">
        <v>8.8900000000000007E-2</v>
      </c>
      <c r="H19" s="150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3">
        <v>8.6999999999999994E-3</v>
      </c>
      <c r="H20" s="150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3">
        <v>0.1575</v>
      </c>
      <c r="H21" s="150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3">
        <v>0.16980000000000001</v>
      </c>
      <c r="H22" s="150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3">
        <v>0.10489999999999999</v>
      </c>
      <c r="H23" s="150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3">
        <v>0.1087</v>
      </c>
      <c r="H24" s="150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3">
        <v>1.8800000000000001E-2</v>
      </c>
      <c r="H25" s="150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3">
        <v>8.5800000000000001E-2</v>
      </c>
      <c r="H26" s="150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3">
        <v>0.25690000000000002</v>
      </c>
      <c r="H27" s="150"/>
    </row>
  </sheetData>
  <mergeCells count="1">
    <mergeCell ref="H2:H27"/>
  </mergeCells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56"/>
  <sheetViews>
    <sheetView zoomScale="90" zoomScaleNormal="60" workbookViewId="0">
      <selection activeCell="A20" sqref="A20:XFD130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6" t="s">
        <v>204</v>
      </c>
    </row>
    <row r="2" spans="1:15" ht="15.75" customHeight="1" x14ac:dyDescent="0.25">
      <c r="A2" s="6" t="s">
        <v>116</v>
      </c>
      <c r="B2" s="14" t="s">
        <v>118</v>
      </c>
      <c r="C2" s="129">
        <v>0.59801320000000002</v>
      </c>
      <c r="D2" s="129">
        <v>0.59801320000000002</v>
      </c>
      <c r="E2" s="129">
        <v>0.37005759999999999</v>
      </c>
      <c r="F2" s="129">
        <v>0.19068940000000001</v>
      </c>
      <c r="G2" s="129">
        <v>0.18622759999999999</v>
      </c>
      <c r="H2" s="149" t="s">
        <v>216</v>
      </c>
    </row>
    <row r="3" spans="1:15" ht="15.75" customHeight="1" x14ac:dyDescent="0.25">
      <c r="A3" s="5"/>
      <c r="B3" s="14" t="s">
        <v>119</v>
      </c>
      <c r="C3" s="129">
        <v>0.23314599999999999</v>
      </c>
      <c r="D3" s="129">
        <v>0.23314599999999999</v>
      </c>
      <c r="E3" s="129">
        <v>0.32718000000000003</v>
      </c>
      <c r="F3" s="129">
        <v>0.29234139999999997</v>
      </c>
      <c r="G3" s="129">
        <v>0.19193440000000001</v>
      </c>
      <c r="H3" s="149"/>
    </row>
    <row r="4" spans="1:15" ht="15.75" customHeight="1" x14ac:dyDescent="0.25">
      <c r="A4" s="5"/>
      <c r="B4" s="14" t="s">
        <v>117</v>
      </c>
      <c r="C4" s="129">
        <v>0.13706969999999999</v>
      </c>
      <c r="D4" s="129">
        <v>0.13706969999999999</v>
      </c>
      <c r="E4" s="129">
        <v>0.12669050000000001</v>
      </c>
      <c r="F4" s="129">
        <v>0.2769354</v>
      </c>
      <c r="G4" s="129">
        <v>0.2485395</v>
      </c>
      <c r="H4" s="149"/>
    </row>
    <row r="5" spans="1:15" ht="15.75" customHeight="1" x14ac:dyDescent="0.25">
      <c r="A5" s="5"/>
      <c r="B5" s="14" t="s">
        <v>120</v>
      </c>
      <c r="C5" s="129">
        <v>3.1771099999999997E-2</v>
      </c>
      <c r="D5" s="129">
        <v>3.1771099999999997E-2</v>
      </c>
      <c r="E5" s="129">
        <v>0.1760719</v>
      </c>
      <c r="F5" s="129">
        <v>0.24003379999999999</v>
      </c>
      <c r="G5" s="129">
        <v>0.37329849999999998</v>
      </c>
      <c r="H5" s="149"/>
      <c r="I5" s="103"/>
    </row>
    <row r="6" spans="1:15" ht="15.75" customHeight="1" x14ac:dyDescent="0.25">
      <c r="B6" s="17"/>
      <c r="C6" s="33">
        <f>SUM(C2:C5)</f>
        <v>1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29">
        <v>0.78263519999999998</v>
      </c>
      <c r="D8" s="129">
        <v>0.78263519999999998</v>
      </c>
      <c r="E8" s="129">
        <v>0.82185209999999997</v>
      </c>
      <c r="F8" s="129">
        <v>0.83883890000000005</v>
      </c>
      <c r="G8" s="129">
        <v>0.87240390000000001</v>
      </c>
      <c r="H8" s="149" t="s">
        <v>216</v>
      </c>
    </row>
    <row r="9" spans="1:15" ht="15.75" customHeight="1" x14ac:dyDescent="0.25">
      <c r="B9" s="9" t="s">
        <v>122</v>
      </c>
      <c r="C9" s="129">
        <v>0.1057768</v>
      </c>
      <c r="D9" s="129">
        <v>0.1057768</v>
      </c>
      <c r="E9" s="129">
        <v>0.1781479</v>
      </c>
      <c r="F9" s="129">
        <v>0.1021714</v>
      </c>
      <c r="G9" s="129">
        <v>9.3313599999999997E-2</v>
      </c>
      <c r="H9" s="149"/>
    </row>
    <row r="10" spans="1:15" ht="15.75" customHeight="1" x14ac:dyDescent="0.25">
      <c r="B10" s="9" t="s">
        <v>123</v>
      </c>
      <c r="C10" s="129">
        <v>7.1894600000000003E-2</v>
      </c>
      <c r="D10" s="129">
        <v>7.1894600000000003E-2</v>
      </c>
      <c r="E10" s="129">
        <v>0</v>
      </c>
      <c r="F10" s="129">
        <v>4.2770200000000001E-2</v>
      </c>
      <c r="G10" s="129">
        <v>1.97313E-2</v>
      </c>
      <c r="H10" s="149"/>
    </row>
    <row r="11" spans="1:15" ht="15.75" customHeight="1" x14ac:dyDescent="0.25">
      <c r="B11" s="9" t="s">
        <v>124</v>
      </c>
      <c r="C11" s="129">
        <v>3.9693399999999997E-2</v>
      </c>
      <c r="D11" s="129">
        <v>3.9693399999999997E-2</v>
      </c>
      <c r="E11" s="129">
        <v>0</v>
      </c>
      <c r="F11" s="129">
        <v>1.6219600000000001E-2</v>
      </c>
      <c r="G11" s="129">
        <v>1.45512E-2</v>
      </c>
      <c r="H11" s="149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7" t="s">
        <v>53</v>
      </c>
      <c r="I13" s="87" t="s">
        <v>54</v>
      </c>
      <c r="J13" s="87" t="s">
        <v>55</v>
      </c>
      <c r="K13" s="87" t="s">
        <v>56</v>
      </c>
      <c r="L13" s="87" t="s">
        <v>49</v>
      </c>
      <c r="M13" s="87" t="s">
        <v>50</v>
      </c>
      <c r="N13" s="87" t="s">
        <v>51</v>
      </c>
      <c r="O13" s="87" t="s">
        <v>52</v>
      </c>
    </row>
    <row r="14" spans="1:15" ht="15.75" customHeight="1" x14ac:dyDescent="0.25">
      <c r="B14" s="19" t="s">
        <v>132</v>
      </c>
      <c r="C14" s="137"/>
      <c r="D14" s="137"/>
      <c r="E14" s="129">
        <v>0.75329999999999997</v>
      </c>
      <c r="F14" s="129">
        <v>0.45119999999999999</v>
      </c>
      <c r="G14" s="129">
        <v>0.251</v>
      </c>
      <c r="H14" s="138">
        <v>0.36320000000000002</v>
      </c>
      <c r="I14" s="138">
        <v>0.1104</v>
      </c>
      <c r="J14" s="138">
        <v>0.16170000000000001</v>
      </c>
      <c r="K14" s="138">
        <v>0</v>
      </c>
      <c r="L14" s="138">
        <v>0.23980000000000001</v>
      </c>
      <c r="M14" s="138">
        <v>0.1951</v>
      </c>
      <c r="N14" s="138">
        <v>0.18820000000000001</v>
      </c>
      <c r="O14" s="138">
        <v>0.20669999999999999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0.32783615999999999</v>
      </c>
      <c r="F15" s="37">
        <f t="shared" si="0"/>
        <v>0.19636223999999999</v>
      </c>
      <c r="G15" s="37">
        <f t="shared" si="0"/>
        <v>0.10923519999999999</v>
      </c>
      <c r="H15" s="37">
        <f t="shared" si="0"/>
        <v>0.15806464000000001</v>
      </c>
      <c r="I15" s="37">
        <f t="shared" si="0"/>
        <v>4.8046079999999998E-2</v>
      </c>
      <c r="J15" s="37">
        <f t="shared" si="0"/>
        <v>7.0371840000000005E-2</v>
      </c>
      <c r="K15" s="37">
        <f t="shared" si="0"/>
        <v>0</v>
      </c>
      <c r="L15" s="37">
        <f t="shared" si="0"/>
        <v>0.10436096</v>
      </c>
      <c r="M15" s="37">
        <f t="shared" si="0"/>
        <v>8.490752E-2</v>
      </c>
      <c r="N15" s="37">
        <f t="shared" si="0"/>
        <v>8.1904640000000001E-2</v>
      </c>
      <c r="O15" s="37">
        <f t="shared" si="0"/>
        <v>8.9955839999999995E-2</v>
      </c>
    </row>
    <row r="16" spans="1:15" ht="19" customHeight="1" x14ac:dyDescent="0.3">
      <c r="B16" s="94" t="s">
        <v>211</v>
      </c>
      <c r="C16" s="151" t="s">
        <v>216</v>
      </c>
      <c r="D16" s="152"/>
      <c r="E16" s="152"/>
      <c r="F16" s="152"/>
      <c r="G16" s="152"/>
      <c r="H16" s="153" t="s">
        <v>216</v>
      </c>
      <c r="I16" s="154"/>
      <c r="J16" s="154"/>
      <c r="K16" s="154"/>
      <c r="L16" s="154"/>
      <c r="M16" s="154"/>
      <c r="N16" s="154"/>
      <c r="O16" s="154"/>
    </row>
    <row r="17" spans="2:15" ht="49.75" customHeight="1" x14ac:dyDescent="0.25">
      <c r="C17" s="10"/>
      <c r="D17" s="10"/>
      <c r="E17" s="10"/>
      <c r="F17" s="10"/>
      <c r="G17" s="10"/>
      <c r="H17" s="155"/>
      <c r="I17" s="155"/>
      <c r="J17" s="155"/>
      <c r="K17" s="155"/>
      <c r="L17" s="155"/>
      <c r="M17" s="155"/>
      <c r="N17" s="155"/>
      <c r="O17" s="155"/>
    </row>
    <row r="20" spans="2:15" ht="15.75" customHeight="1" x14ac:dyDescent="0.25">
      <c r="B20" s="107"/>
      <c r="D20" s="107"/>
      <c r="F20" s="107"/>
      <c r="H20" s="107"/>
      <c r="J20" s="107"/>
      <c r="L20" s="107"/>
      <c r="M20" s="98"/>
    </row>
    <row r="21" spans="2:15" ht="15.75" customHeight="1" x14ac:dyDescent="0.25">
      <c r="B21" s="107"/>
      <c r="D21" s="107"/>
      <c r="F21" s="107"/>
      <c r="H21" s="107"/>
      <c r="J21" s="107"/>
      <c r="L21" s="107"/>
      <c r="M21" s="98"/>
    </row>
    <row r="22" spans="2:15" ht="15.75" customHeight="1" x14ac:dyDescent="0.25">
      <c r="B22" s="107"/>
      <c r="D22" s="107"/>
      <c r="F22" s="107"/>
      <c r="H22" s="107"/>
      <c r="J22" s="107"/>
      <c r="L22" s="107"/>
      <c r="M22" s="98"/>
    </row>
    <row r="23" spans="2:15" ht="15.75" customHeight="1" x14ac:dyDescent="0.25">
      <c r="B23" s="107"/>
      <c r="D23" s="107"/>
      <c r="F23" s="107"/>
      <c r="H23" s="107"/>
      <c r="J23" s="107"/>
      <c r="L23" s="107"/>
      <c r="M23" s="98"/>
    </row>
    <row r="24" spans="2:15" ht="15.75" customHeight="1" x14ac:dyDescent="0.25">
      <c r="J24" s="107"/>
      <c r="L24" s="107"/>
      <c r="M24" s="98"/>
    </row>
    <row r="56" spans="14:14" ht="15.75" customHeight="1" x14ac:dyDescent="0.25">
      <c r="N56">
        <v>30</v>
      </c>
    </row>
  </sheetData>
  <mergeCells count="5"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H5"/>
  <sheetViews>
    <sheetView zoomScale="83" zoomScaleNormal="60" workbookViewId="0">
      <selection activeCell="D21" sqref="D21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8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6" t="s">
        <v>204</v>
      </c>
    </row>
    <row r="2" spans="1:8" x14ac:dyDescent="0.25">
      <c r="A2" s="3" t="s">
        <v>24</v>
      </c>
      <c r="B2" s="50" t="s">
        <v>166</v>
      </c>
      <c r="C2" s="129">
        <v>1</v>
      </c>
      <c r="D2" s="129">
        <v>0.64908949999999999</v>
      </c>
      <c r="E2" s="129"/>
      <c r="F2" s="129"/>
      <c r="G2" s="129"/>
      <c r="H2" s="149" t="s">
        <v>207</v>
      </c>
    </row>
    <row r="3" spans="1:8" x14ac:dyDescent="0.25">
      <c r="B3" s="50" t="s">
        <v>167</v>
      </c>
      <c r="C3" s="139">
        <v>0</v>
      </c>
      <c r="D3" s="139">
        <v>0.1845415</v>
      </c>
      <c r="E3" s="139"/>
      <c r="F3" s="139"/>
      <c r="G3" s="139"/>
      <c r="H3" s="149"/>
    </row>
    <row r="4" spans="1:8" x14ac:dyDescent="0.25">
      <c r="B4" s="50" t="s">
        <v>168</v>
      </c>
      <c r="C4" s="139">
        <v>0</v>
      </c>
      <c r="D4" s="139">
        <v>0.13892489999999999</v>
      </c>
      <c r="E4" s="132">
        <v>0.99142129999999995</v>
      </c>
      <c r="F4" s="132">
        <v>0.8886925</v>
      </c>
      <c r="G4" s="132">
        <v>0.26493509999999998</v>
      </c>
      <c r="H4" s="149"/>
    </row>
    <row r="5" spans="1:8" x14ac:dyDescent="0.25">
      <c r="B5" s="50" t="s">
        <v>169</v>
      </c>
      <c r="C5" s="37">
        <f>1-SUM(C2:C4)</f>
        <v>0</v>
      </c>
      <c r="D5" s="37">
        <f t="shared" ref="D5:G5" si="0">1-SUM(D2:D4)</f>
        <v>2.7444099999999971E-2</v>
      </c>
      <c r="E5" s="37">
        <f t="shared" si="0"/>
        <v>8.5787000000000502E-3</v>
      </c>
      <c r="F5" s="37">
        <f t="shared" si="0"/>
        <v>0.1113075</v>
      </c>
      <c r="G5" s="37">
        <f t="shared" si="0"/>
        <v>0.73506490000000002</v>
      </c>
      <c r="H5" s="149"/>
    </row>
  </sheetData>
  <mergeCells count="1">
    <mergeCell ref="H2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H39"/>
  <sheetViews>
    <sheetView zoomScale="107" zoomScaleNormal="60" workbookViewId="0">
      <selection activeCell="C3" sqref="C3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2.08984375" style="42" customWidth="1"/>
    <col min="6" max="6" width="26.1796875" style="50" customWidth="1"/>
    <col min="7" max="7" width="15.81640625" style="42" customWidth="1"/>
    <col min="8" max="16384" width="14.36328125" style="42"/>
  </cols>
  <sheetData>
    <row r="1" spans="1:8" ht="56.65" customHeight="1" x14ac:dyDescent="0.35">
      <c r="A1" s="62" t="s">
        <v>69</v>
      </c>
      <c r="B1" s="141" t="s">
        <v>258</v>
      </c>
      <c r="C1" s="61" t="s">
        <v>201</v>
      </c>
      <c r="D1" s="60" t="s">
        <v>202</v>
      </c>
      <c r="E1" s="88" t="s">
        <v>208</v>
      </c>
      <c r="F1" s="114" t="s">
        <v>248</v>
      </c>
      <c r="G1" s="91" t="s">
        <v>209</v>
      </c>
    </row>
    <row r="2" spans="1:8" ht="15.75" customHeight="1" x14ac:dyDescent="0.25">
      <c r="A2" s="57" t="s">
        <v>29</v>
      </c>
      <c r="B2" s="140"/>
      <c r="C2" s="58">
        <v>0.95</v>
      </c>
      <c r="D2" s="59">
        <v>25</v>
      </c>
      <c r="E2" s="89"/>
      <c r="F2" s="90"/>
      <c r="G2" s="89" t="s">
        <v>212</v>
      </c>
    </row>
    <row r="3" spans="1:8" ht="15.75" customHeight="1" x14ac:dyDescent="0.25">
      <c r="A3" s="57" t="s">
        <v>86</v>
      </c>
      <c r="B3" s="140"/>
      <c r="C3" s="58">
        <v>0.95</v>
      </c>
      <c r="D3" s="59">
        <v>1</v>
      </c>
      <c r="E3" s="90"/>
      <c r="F3" s="90"/>
      <c r="G3" s="89" t="s">
        <v>210</v>
      </c>
    </row>
    <row r="4" spans="1:8" ht="15.75" customHeight="1" x14ac:dyDescent="0.25">
      <c r="A4" s="57" t="s">
        <v>61</v>
      </c>
      <c r="B4" s="140"/>
      <c r="C4" s="58">
        <v>0.95</v>
      </c>
      <c r="D4" s="59">
        <f>180</f>
        <v>180</v>
      </c>
      <c r="E4" s="90"/>
      <c r="F4" s="90"/>
      <c r="G4" s="89" t="s">
        <v>210</v>
      </c>
    </row>
    <row r="5" spans="1:8" ht="15.75" customHeight="1" x14ac:dyDescent="0.3">
      <c r="A5" s="92" t="s">
        <v>198</v>
      </c>
      <c r="B5" s="129">
        <v>0.16200000000000001</v>
      </c>
      <c r="C5" s="58">
        <v>0.95</v>
      </c>
      <c r="D5" s="116">
        <f>SUM('Programs family planning'!E2:E10)</f>
        <v>0.82100000000000006</v>
      </c>
      <c r="E5" s="89" t="s">
        <v>216</v>
      </c>
      <c r="F5" s="115" t="s">
        <v>230</v>
      </c>
      <c r="G5" s="89"/>
    </row>
    <row r="6" spans="1:8" ht="15.75" customHeight="1" x14ac:dyDescent="0.3">
      <c r="A6" s="92"/>
      <c r="B6" s="129">
        <v>0.11599999999999999</v>
      </c>
      <c r="C6" s="58">
        <v>0.95</v>
      </c>
      <c r="D6" s="116">
        <v>8.2000000000000003E-2</v>
      </c>
      <c r="E6" s="89" t="s">
        <v>216</v>
      </c>
      <c r="F6" s="115" t="s">
        <v>231</v>
      </c>
      <c r="G6" s="89"/>
    </row>
    <row r="7" spans="1:8" ht="15.75" customHeight="1" x14ac:dyDescent="0.25">
      <c r="A7" s="57" t="s">
        <v>63</v>
      </c>
      <c r="B7" s="130"/>
      <c r="C7" s="58">
        <v>0.95</v>
      </c>
      <c r="D7" s="59">
        <v>0.82</v>
      </c>
      <c r="E7" s="89"/>
      <c r="F7" s="90"/>
      <c r="G7" s="89"/>
    </row>
    <row r="8" spans="1:8" ht="15.75" customHeight="1" x14ac:dyDescent="0.25">
      <c r="A8" s="70" t="s">
        <v>187</v>
      </c>
      <c r="B8" s="130"/>
      <c r="C8" s="58">
        <v>0.95</v>
      </c>
      <c r="D8" s="59">
        <v>0.73</v>
      </c>
      <c r="E8" s="89"/>
      <c r="F8" s="90"/>
      <c r="G8" s="89"/>
    </row>
    <row r="9" spans="1:8" ht="15.75" customHeight="1" x14ac:dyDescent="0.25">
      <c r="A9" s="70" t="s">
        <v>188</v>
      </c>
      <c r="B9" s="130"/>
      <c r="C9" s="58">
        <v>0.95</v>
      </c>
      <c r="D9" s="59">
        <v>1.78</v>
      </c>
      <c r="E9" s="89"/>
      <c r="F9" s="90"/>
      <c r="G9" s="89"/>
    </row>
    <row r="10" spans="1:8" ht="15.75" customHeight="1" x14ac:dyDescent="0.25">
      <c r="A10" s="70" t="s">
        <v>189</v>
      </c>
      <c r="B10" s="130"/>
      <c r="C10" s="58">
        <v>0.95</v>
      </c>
      <c r="D10" s="59">
        <v>0.24</v>
      </c>
      <c r="E10" s="89"/>
      <c r="F10" s="90"/>
      <c r="G10" s="89"/>
    </row>
    <row r="11" spans="1:8" ht="15.75" customHeight="1" x14ac:dyDescent="0.25">
      <c r="A11" s="70" t="s">
        <v>190</v>
      </c>
      <c r="B11" s="130"/>
      <c r="C11" s="58">
        <v>0.95</v>
      </c>
      <c r="D11" s="59">
        <v>0.55000000000000004</v>
      </c>
      <c r="E11" s="89"/>
      <c r="F11" s="90"/>
      <c r="G11" s="89" t="s">
        <v>210</v>
      </c>
    </row>
    <row r="12" spans="1:8" ht="15.75" customHeight="1" x14ac:dyDescent="0.25">
      <c r="A12" s="14" t="s">
        <v>186</v>
      </c>
      <c r="B12" s="130"/>
      <c r="C12" s="58">
        <v>0.95</v>
      </c>
      <c r="D12" s="59">
        <v>0.73</v>
      </c>
      <c r="E12" s="89"/>
      <c r="F12" s="90"/>
      <c r="G12" s="89"/>
    </row>
    <row r="13" spans="1:8" ht="15.75" customHeight="1" x14ac:dyDescent="0.35">
      <c r="A13" s="93" t="s">
        <v>191</v>
      </c>
      <c r="B13" s="129">
        <v>0.77400000000000002</v>
      </c>
      <c r="C13" s="58">
        <v>0.95</v>
      </c>
      <c r="D13" s="59">
        <v>2</v>
      </c>
      <c r="E13" s="89" t="s">
        <v>216</v>
      </c>
      <c r="F13" s="90" t="s">
        <v>246</v>
      </c>
      <c r="G13" s="89"/>
      <c r="H13" s="99"/>
    </row>
    <row r="14" spans="1:8" ht="15.75" customHeight="1" x14ac:dyDescent="0.3">
      <c r="A14" s="92" t="s">
        <v>57</v>
      </c>
      <c r="B14" s="129">
        <v>0.49</v>
      </c>
      <c r="C14" s="58">
        <v>0.95</v>
      </c>
      <c r="D14" s="59">
        <v>2.1800000000000002</v>
      </c>
      <c r="E14" s="89" t="s">
        <v>216</v>
      </c>
      <c r="F14" s="115" t="s">
        <v>232</v>
      </c>
      <c r="G14" s="89" t="s">
        <v>212</v>
      </c>
    </row>
    <row r="15" spans="1:8" ht="15.75" customHeight="1" x14ac:dyDescent="0.35">
      <c r="A15" s="92"/>
      <c r="B15" s="129">
        <v>0.161</v>
      </c>
      <c r="C15" s="58">
        <v>0.95</v>
      </c>
      <c r="D15" s="59">
        <v>2.1800000000000002</v>
      </c>
      <c r="E15" s="89" t="s">
        <v>216</v>
      </c>
      <c r="F15" s="115" t="s">
        <v>233</v>
      </c>
      <c r="G15" s="89"/>
      <c r="H15" s="99"/>
    </row>
    <row r="16" spans="1:8" ht="15.75" customHeight="1" x14ac:dyDescent="0.35">
      <c r="A16" s="57" t="s">
        <v>47</v>
      </c>
      <c r="B16" s="130"/>
      <c r="C16" s="58">
        <v>0.95</v>
      </c>
      <c r="D16" s="59">
        <v>0.05</v>
      </c>
      <c r="E16" s="89"/>
      <c r="F16" s="90"/>
      <c r="G16" s="89"/>
      <c r="H16" s="99"/>
    </row>
    <row r="17" spans="1:8" ht="16" customHeight="1" x14ac:dyDescent="0.25">
      <c r="A17" s="57" t="s">
        <v>172</v>
      </c>
      <c r="B17" s="130"/>
      <c r="C17" s="58">
        <v>0.95</v>
      </c>
      <c r="D17" s="117">
        <v>5</v>
      </c>
      <c r="E17" s="89"/>
      <c r="F17" s="90"/>
      <c r="G17" s="89"/>
    </row>
    <row r="18" spans="1:8" ht="15.75" customHeight="1" x14ac:dyDescent="0.25">
      <c r="A18" s="57" t="s">
        <v>199</v>
      </c>
      <c r="B18" s="130"/>
      <c r="C18" s="58">
        <v>0.95</v>
      </c>
      <c r="D18" s="117">
        <f>SUMPRODUCT(('IYCF cost'!$C$2:$E$6)*('IYCF packages'!$C$9:$E$13&lt;&gt;""))</f>
        <v>4.8250000000000002</v>
      </c>
      <c r="E18" s="89"/>
      <c r="F18" s="90"/>
      <c r="G18" s="89" t="s">
        <v>210</v>
      </c>
    </row>
    <row r="19" spans="1:8" ht="15.75" customHeight="1" x14ac:dyDescent="0.25">
      <c r="A19" s="57" t="s">
        <v>200</v>
      </c>
      <c r="B19" s="130"/>
      <c r="C19" s="58">
        <v>0.95</v>
      </c>
      <c r="D19" s="117">
        <f>SUMPRODUCT(('IYCF cost'!$C$2:$E$6)*('IYCF packages'!$C$16:$E$20&lt;&gt;""))</f>
        <v>0.25</v>
      </c>
      <c r="E19" s="89"/>
      <c r="F19" s="90"/>
      <c r="G19" s="89"/>
    </row>
    <row r="20" spans="1:8" ht="15.75" customHeight="1" x14ac:dyDescent="0.25">
      <c r="A20" s="57" t="s">
        <v>196</v>
      </c>
      <c r="B20" s="130"/>
      <c r="C20" s="58">
        <v>0.95</v>
      </c>
      <c r="D20" s="59">
        <v>8.84</v>
      </c>
      <c r="E20" s="89"/>
      <c r="F20" s="90"/>
      <c r="G20" s="89"/>
    </row>
    <row r="21" spans="1:8" ht="15.75" customHeight="1" x14ac:dyDescent="0.25">
      <c r="A21" s="57" t="s">
        <v>137</v>
      </c>
      <c r="B21" s="130"/>
      <c r="C21" s="58">
        <v>0.95</v>
      </c>
      <c r="D21" s="59">
        <v>50</v>
      </c>
      <c r="E21" s="90"/>
      <c r="F21" s="90"/>
      <c r="G21" s="89"/>
    </row>
    <row r="22" spans="1:8" ht="15.75" customHeight="1" x14ac:dyDescent="0.25">
      <c r="A22" s="57" t="s">
        <v>34</v>
      </c>
      <c r="B22" s="130"/>
      <c r="C22" s="58">
        <v>0.95</v>
      </c>
      <c r="D22" s="59">
        <v>2.61</v>
      </c>
      <c r="E22" s="90"/>
      <c r="F22" s="90"/>
      <c r="G22" s="89"/>
    </row>
    <row r="23" spans="1:8" ht="15.75" customHeight="1" x14ac:dyDescent="0.25">
      <c r="A23" s="57" t="s">
        <v>88</v>
      </c>
      <c r="B23" s="130"/>
      <c r="C23" s="58">
        <v>0.95</v>
      </c>
      <c r="D23" s="59">
        <v>1</v>
      </c>
      <c r="E23" s="90"/>
      <c r="F23" s="90"/>
      <c r="G23" s="89" t="s">
        <v>210</v>
      </c>
    </row>
    <row r="24" spans="1:8" ht="15.75" customHeight="1" x14ac:dyDescent="0.25">
      <c r="A24" s="57" t="s">
        <v>87</v>
      </c>
      <c r="B24" s="130"/>
      <c r="C24" s="58">
        <v>0.95</v>
      </c>
      <c r="D24" s="59">
        <v>1</v>
      </c>
      <c r="E24" s="90"/>
      <c r="F24" s="90"/>
      <c r="G24" s="89" t="s">
        <v>210</v>
      </c>
    </row>
    <row r="25" spans="1:8" ht="15.75" customHeight="1" x14ac:dyDescent="0.25">
      <c r="A25" s="57" t="s">
        <v>138</v>
      </c>
      <c r="B25" s="130"/>
      <c r="C25" s="58">
        <v>0.95</v>
      </c>
      <c r="D25" s="59">
        <v>1</v>
      </c>
      <c r="E25" s="90"/>
      <c r="F25" s="90"/>
      <c r="G25" s="89" t="s">
        <v>210</v>
      </c>
    </row>
    <row r="26" spans="1:8" ht="15.75" customHeight="1" x14ac:dyDescent="0.3">
      <c r="A26" s="92" t="s">
        <v>59</v>
      </c>
      <c r="B26" s="130"/>
      <c r="C26" s="58">
        <v>0.95</v>
      </c>
      <c r="D26" s="59">
        <v>3.54</v>
      </c>
      <c r="E26" s="89"/>
      <c r="F26" s="90" t="s">
        <v>247</v>
      </c>
      <c r="G26" s="89"/>
    </row>
    <row r="27" spans="1:8" ht="15.75" customHeight="1" x14ac:dyDescent="0.3">
      <c r="A27" s="92" t="s">
        <v>84</v>
      </c>
      <c r="B27" s="129">
        <v>0.38700000000000001</v>
      </c>
      <c r="C27" s="58">
        <v>0.95</v>
      </c>
      <c r="D27" s="59">
        <v>1</v>
      </c>
      <c r="E27" s="89" t="s">
        <v>216</v>
      </c>
      <c r="F27" s="90" t="s">
        <v>234</v>
      </c>
      <c r="G27" s="89"/>
    </row>
    <row r="28" spans="1:8" ht="15.75" customHeight="1" x14ac:dyDescent="0.25">
      <c r="A28" s="57" t="s">
        <v>58</v>
      </c>
      <c r="B28" s="130"/>
      <c r="C28" s="58">
        <v>0.95</v>
      </c>
      <c r="D28" s="59">
        <v>40.25</v>
      </c>
      <c r="E28" s="89"/>
      <c r="F28" s="90"/>
      <c r="G28" s="89"/>
    </row>
    <row r="29" spans="1:8" ht="15.75" customHeight="1" x14ac:dyDescent="0.25">
      <c r="A29" s="57" t="s">
        <v>67</v>
      </c>
      <c r="B29" s="130"/>
      <c r="C29" s="58">
        <v>0.95</v>
      </c>
      <c r="D29" s="118">
        <f>162*AVERAGE('Incidence of conditions'!B4:F4) + 0*AVERAGE('Incidence of conditions'!B3:F3)*IF(ISBLANK(manage_mam), 0, 1)</f>
        <v>9.279676224000001</v>
      </c>
      <c r="E29" s="89"/>
      <c r="F29" s="90"/>
      <c r="G29" s="89"/>
    </row>
    <row r="30" spans="1:8" ht="15.75" customHeight="1" x14ac:dyDescent="0.35">
      <c r="A30" s="92" t="s">
        <v>28</v>
      </c>
      <c r="B30" s="129">
        <v>0.84900000000000009</v>
      </c>
      <c r="C30" s="58">
        <v>0.95</v>
      </c>
      <c r="D30" s="59">
        <v>0.55000000000000004</v>
      </c>
      <c r="E30" s="89" t="s">
        <v>216</v>
      </c>
      <c r="F30" s="115" t="s">
        <v>235</v>
      </c>
      <c r="G30" s="89"/>
      <c r="H30" s="99"/>
    </row>
    <row r="31" spans="1:8" ht="15.75" customHeight="1" x14ac:dyDescent="0.35">
      <c r="A31" s="92"/>
      <c r="B31" s="129">
        <v>0.39200000000000002</v>
      </c>
      <c r="C31" s="58">
        <v>0.95</v>
      </c>
      <c r="D31" s="59">
        <v>0.55000000000000004</v>
      </c>
      <c r="E31" s="89" t="s">
        <v>216</v>
      </c>
      <c r="F31" s="115" t="s">
        <v>236</v>
      </c>
      <c r="G31" s="89"/>
      <c r="H31" s="99"/>
    </row>
    <row r="32" spans="1:8" ht="15.75" customHeight="1" x14ac:dyDescent="0.25">
      <c r="A32" s="57" t="s">
        <v>83</v>
      </c>
      <c r="B32" s="130"/>
      <c r="C32" s="58">
        <v>0.95</v>
      </c>
      <c r="D32" s="59">
        <v>1</v>
      </c>
      <c r="E32" s="89"/>
      <c r="F32" s="90"/>
      <c r="G32" s="89" t="s">
        <v>210</v>
      </c>
    </row>
    <row r="33" spans="1:7" ht="15.75" customHeight="1" x14ac:dyDescent="0.25">
      <c r="A33" s="57" t="s">
        <v>82</v>
      </c>
      <c r="B33" s="130"/>
      <c r="C33" s="58">
        <v>0.95</v>
      </c>
      <c r="D33" s="59">
        <v>2.8</v>
      </c>
      <c r="E33" s="89"/>
      <c r="F33" s="90"/>
      <c r="G33" s="89"/>
    </row>
    <row r="34" spans="1:7" ht="15.75" customHeight="1" x14ac:dyDescent="0.25">
      <c r="A34" s="57" t="s">
        <v>81</v>
      </c>
      <c r="B34" s="130"/>
      <c r="C34" s="58">
        <v>0.95</v>
      </c>
      <c r="D34" s="59">
        <v>50.26</v>
      </c>
      <c r="E34" s="89"/>
      <c r="F34" s="90"/>
      <c r="G34" s="89"/>
    </row>
    <row r="35" spans="1:7" ht="15.75" customHeight="1" x14ac:dyDescent="0.25">
      <c r="A35" s="57" t="s">
        <v>79</v>
      </c>
      <c r="B35" s="130"/>
      <c r="C35" s="58">
        <v>0.95</v>
      </c>
      <c r="D35" s="59">
        <v>36.1</v>
      </c>
      <c r="E35" s="89"/>
      <c r="F35" s="90"/>
      <c r="G35" s="89"/>
    </row>
    <row r="36" spans="1:7" s="43" customFormat="1" ht="15.75" customHeight="1" x14ac:dyDescent="0.25">
      <c r="A36" s="57" t="s">
        <v>80</v>
      </c>
      <c r="B36" s="130"/>
      <c r="C36" s="58">
        <v>0.95</v>
      </c>
      <c r="D36" s="59">
        <v>231.85</v>
      </c>
      <c r="E36" s="89"/>
      <c r="F36" s="90"/>
      <c r="G36" s="89"/>
    </row>
    <row r="37" spans="1:7" ht="15.75" customHeight="1" x14ac:dyDescent="0.3">
      <c r="A37" s="92" t="s">
        <v>85</v>
      </c>
      <c r="B37" s="130">
        <v>3.6600000000000001E-2</v>
      </c>
      <c r="C37" s="58">
        <v>0.95</v>
      </c>
      <c r="D37" s="59">
        <v>0.92</v>
      </c>
      <c r="E37" s="89" t="s">
        <v>216</v>
      </c>
      <c r="F37" s="90"/>
      <c r="G37" s="89"/>
    </row>
    <row r="38" spans="1:7" ht="15.75" customHeight="1" x14ac:dyDescent="0.25">
      <c r="A38" s="57" t="s">
        <v>60</v>
      </c>
      <c r="B38" s="140"/>
      <c r="C38" s="58">
        <v>0.95</v>
      </c>
      <c r="D38" s="59">
        <v>4.6100000000000003</v>
      </c>
      <c r="E38" s="89"/>
      <c r="F38" s="90"/>
      <c r="G38" s="89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2018-11-06T17:35:40Z</dcterms:modified>
</cp:coreProperties>
</file>