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wb484577\Desktop\Provincial projections\"/>
    </mc:Choice>
  </mc:AlternateContent>
  <xr:revisionPtr revIDLastSave="0" documentId="10_ncr:100000_{6937591A-9BAB-455A-ADA7-62D86145F45A}" xr6:coauthVersionLast="31" xr6:coauthVersionMax="31" xr10:uidLastSave="{00000000-0000-0000-0000-000000000000}"/>
  <bookViews>
    <workbookView xWindow="0" yWindow="0" windowWidth="23040" windowHeight="8610" tabRatio="93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r:id="rId10"/>
    <sheet name="Program dependencies" sheetId="58" r:id="rId11"/>
    <sheet name="Reference programs" sheetId="59" state="hidden" r:id="rId12"/>
    <sheet name="Incidence of conditions" sheetId="7" r:id="rId13"/>
    <sheet name="Programs target population" sheetId="21" r:id="rId14"/>
    <sheet name="Programs family planning" sheetId="54" r:id="rId15"/>
  </sheets>
  <definedNames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inputs'!$C$7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inputs'!$C$8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79017"/>
</workbook>
</file>

<file path=xl/calcChain.xml><?xml version="1.0" encoding="utf-8"?>
<calcChain xmlns="http://schemas.openxmlformats.org/spreadsheetml/2006/main">
  <c r="D6" i="57" l="1"/>
  <c r="C6" i="57"/>
  <c r="D5" i="57"/>
  <c r="C5" i="57"/>
  <c r="D4" i="57"/>
  <c r="C4" i="57"/>
  <c r="D3" i="57"/>
  <c r="C3" i="57"/>
  <c r="D2" i="57"/>
  <c r="C2" i="57"/>
  <c r="D4" i="56"/>
  <c r="G11" i="21" l="1"/>
  <c r="F11" i="21"/>
  <c r="E11" i="21"/>
  <c r="D11" i="21"/>
  <c r="C11" i="21"/>
  <c r="E7" i="21"/>
  <c r="G7" i="21"/>
  <c r="F7" i="21"/>
  <c r="D7" i="21"/>
  <c r="C7" i="21"/>
  <c r="E20" i="55" l="1"/>
  <c r="E19" i="55"/>
  <c r="E18" i="55"/>
  <c r="E17" i="55"/>
  <c r="E16" i="55"/>
  <c r="E13" i="55" l="1"/>
  <c r="E12" i="55"/>
  <c r="E11" i="55"/>
  <c r="E10" i="55"/>
  <c r="E9" i="55"/>
  <c r="D18" i="56" s="1"/>
  <c r="I2" i="2" l="1"/>
  <c r="A1" i="50" l="1"/>
  <c r="A1" i="5"/>
  <c r="A1" i="4"/>
  <c r="D19" i="56" l="1"/>
  <c r="C6" i="5"/>
  <c r="A34" i="2" l="1"/>
  <c r="A26" i="2"/>
  <c r="A18" i="2"/>
  <c r="A38" i="2"/>
  <c r="A30" i="2"/>
  <c r="A22" i="2"/>
  <c r="A37" i="2"/>
  <c r="A33" i="2"/>
  <c r="A29" i="2"/>
  <c r="A25" i="2"/>
  <c r="A21" i="2"/>
  <c r="A40" i="2"/>
  <c r="A36" i="2"/>
  <c r="A32" i="2"/>
  <c r="A28" i="2"/>
  <c r="A24" i="2"/>
  <c r="A20" i="2"/>
  <c r="A39" i="2"/>
  <c r="A35" i="2"/>
  <c r="A31" i="2"/>
  <c r="A27" i="2"/>
  <c r="A23" i="2"/>
  <c r="A19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J33" i="2" l="1"/>
  <c r="J31" i="2"/>
  <c r="J25" i="2"/>
  <c r="J23" i="2"/>
  <c r="J32" i="2"/>
  <c r="J24" i="2"/>
  <c r="J39" i="2"/>
  <c r="J37" i="2"/>
  <c r="J35" i="2"/>
  <c r="J17" i="2"/>
  <c r="J40" i="2"/>
  <c r="J20" i="2"/>
  <c r="J29" i="2"/>
  <c r="J27" i="2"/>
  <c r="J16" i="2"/>
  <c r="J21" i="2"/>
  <c r="J19" i="2"/>
  <c r="J38" i="2"/>
  <c r="J22" i="2"/>
  <c r="J30" i="2"/>
  <c r="J36" i="2"/>
  <c r="J28" i="2"/>
  <c r="J34" i="2"/>
  <c r="J26" i="2"/>
  <c r="J18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D29" i="56" l="1"/>
  <c r="E2" i="54"/>
  <c r="E3" i="54"/>
  <c r="E4" i="54"/>
  <c r="E5" i="54"/>
  <c r="E6" i="54"/>
  <c r="E7" i="54"/>
  <c r="E8" i="54"/>
  <c r="E9" i="54"/>
  <c r="E10" i="54"/>
  <c r="D5" i="56" l="1"/>
  <c r="C33" i="2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I3" i="2"/>
  <c r="I4" i="2"/>
  <c r="I5" i="2"/>
  <c r="I6" i="2"/>
  <c r="I7" i="2"/>
  <c r="I8" i="2"/>
  <c r="I9" i="2"/>
  <c r="I10" i="2"/>
  <c r="I11" i="2"/>
  <c r="I12" i="2"/>
  <c r="I13" i="2"/>
  <c r="I14" i="2"/>
  <c r="I15" i="2"/>
  <c r="H3" i="2" l="1"/>
  <c r="J3" i="2" s="1"/>
  <c r="H4" i="2"/>
  <c r="J4" i="2" s="1"/>
  <c r="H5" i="2"/>
  <c r="H6" i="2"/>
  <c r="J6" i="2" s="1"/>
  <c r="H7" i="2"/>
  <c r="J7" i="2" s="1"/>
  <c r="H8" i="2"/>
  <c r="J8" i="2" s="1"/>
  <c r="H9" i="2"/>
  <c r="J9" i="2" s="1"/>
  <c r="H10" i="2"/>
  <c r="J10" i="2" s="1"/>
  <c r="H11" i="2"/>
  <c r="J11" i="2" s="1"/>
  <c r="H12" i="2"/>
  <c r="J12" i="2" s="1"/>
  <c r="H13" i="2"/>
  <c r="H14" i="2"/>
  <c r="J14" i="2" s="1"/>
  <c r="H15" i="2"/>
  <c r="H2" i="2"/>
  <c r="J5" i="2"/>
  <c r="J13" i="2" l="1"/>
  <c r="J15" i="2"/>
  <c r="J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davide de beni</author>
  </authors>
  <commentList>
    <comment ref="A1" authorId="0" shapeId="0" xr:uid="{A8BB5F1D-230B-4232-AF42-5D96210F9657}">
      <text>
        <r>
          <rPr>
            <b/>
            <sz val="9"/>
            <color indexed="81"/>
            <rFont val="Tahoma"/>
            <family val="2"/>
          </rPr>
          <t>davide de beni:</t>
        </r>
        <r>
          <rPr>
            <sz val="9"/>
            <color indexed="81"/>
            <rFont val="Tahoma"/>
            <family val="2"/>
          </rPr>
          <t xml:space="preserve">
Source: LiST (v5.71) - WPP 2017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<sst xmlns="http://schemas.openxmlformats.org/spreadsheetml/2006/main" count="461" uniqueCount="285">
  <si>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</si>
  <si>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</si>
  <si>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</si>
  <si>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</si>
  <si>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</si>
  <si>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</si>
  <si>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</si>
  <si>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</si>
  <si>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</si>
  <si>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</si>
  <si>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</si>
  <si>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</si>
  <si>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</si>
  <si>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</si>
  <si>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</si>
  <si>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</si>
  <si>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</si>
  <si>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</si>
  <si>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</si>
  <si>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</si>
  <si>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</si>
  <si>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</si>
  <si>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</si>
  <si>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</si>
  <si>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</si>
  <si>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</si>
  <si>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</si>
  <si>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</si>
  <si>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</si>
  <si>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</si>
  <si>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</si>
  <si>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</si>
  <si>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</si>
  <si>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</si>
  <si>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</si>
  <si>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</si>
  <si>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</si>
  <si>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</si>
  <si>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</si>
  <si>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</si>
  <si>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</si>
  <si>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</si>
  <si>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</si>
  <si>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</si>
  <si>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</si>
  <si>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</si>
  <si>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</si>
  <si>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</si>
  <si>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</si>
  <si>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</si>
  <si>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</si>
  <si>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</si>
  <si>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</si>
  <si>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</si>
  <si>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</si>
  <si>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</si>
  <si>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</si>
  <si>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</si>
  <si>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</si>
  <si>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</si>
  <si>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</si>
  <si>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</si>
  <si>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</si>
  <si>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</si>
  <si>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</si>
  <si>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</si>
  <si>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</si>
  <si>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</si>
  <si>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</si>
  <si>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</si>
  <si>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</si>
  <si>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</si>
  <si>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</si>
  <si>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</si>
  <si>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</si>
  <si>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</si>
  <si>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</si>
  <si>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</si>
  <si>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</si>
  <si>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</si>
  <si>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</si>
  <si>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</si>
  <si>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</si>
  <si>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</si>
  <si>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</si>
  <si>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</si>
  <si>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</si>
  <si>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</si>
  <si>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</si>
  <si>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</si>
  <si>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</si>
  <si>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</si>
  <si>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</si>
  <si>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</si>
  <si>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</si>
  <si>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</si>
  <si>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</si>
  <si>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</si>
  <si>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</si>
  <si>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</si>
  <si>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</si>
  <si>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</si>
  <si>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</si>
  <si>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</si>
  <si>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</si>
  <si>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</si>
  <si>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</si>
  <si>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</si>
  <si>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</si>
  <si>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</si>
  <si>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</si>
  <si>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</si>
  <si>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</si>
  <si>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Children under 5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</si>
  <si>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</si>
  <si>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</si>
  <si>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</si>
  <si>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</si>
  <si>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</si>
  <si>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</si>
  <si>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</si>
  <si>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</si>
  <si>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</si>
  <si>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</si>
  <si>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</si>
  <si>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</si>
  <si>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</si>
  <si>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</si>
  <si>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</si>
  <si>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</si>
  <si>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</si>
  <si>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</si>
  <si>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</si>
  <si>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</si>
  <si>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</si>
  <si>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</si>
  <si>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</si>
  <si>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</si>
  <si>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</si>
  <si>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</si>
  <si>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</si>
  <si>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</si>
  <si>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</si>
  <si>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</si>
  <si>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</si>
  <si>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</si>
  <si>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</si>
  <si>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</si>
  <si>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</si>
  <si>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</si>
  <si>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</si>
  <si>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</si>
  <si>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</si>
  <si>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</si>
  <si>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</si>
  <si>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</si>
  <si>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</si>
  <si>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</si>
  <si>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</si>
  <si>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</si>
  <si>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</si>
  <si>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</si>
  <si>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</si>
  <si>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</si>
  <si>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</si>
  <si>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</si>
  <si>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Exclusive</t>
  </si>
  <si>
    <t>Predominant</t>
  </si>
  <si>
    <t>Partial</t>
  </si>
  <si>
    <t>None</t>
  </si>
  <si>
    <t>Maternal (deaths per 1,000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</si>
  <si>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</si>
  <si>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</si>
  <si>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</si>
  <si>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</si>
  <si>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</si>
  <si>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</si>
  <si>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</si>
  <si>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</si>
  <si>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</si>
  <si>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</si>
  <si>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</si>
  <si>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</si>
  <si>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</si>
  <si>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</si>
  <si>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</si>
  <si>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</si>
  <si>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</si>
  <si>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(hospital)</t>
  </si>
  <si>
    <t>IFAS (retailer)</t>
  </si>
  <si>
    <t>IFAS (school)</t>
  </si>
  <si>
    <t>IFAS for pregnant women (hospital)</t>
  </si>
  <si>
    <t>Projection years</t>
  </si>
  <si>
    <t>End year</t>
  </si>
  <si>
    <t>Baseline year (projection start year)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</si>
  <si>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</si>
  <si>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</si>
  <si>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</si>
  <si>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</si>
  <si>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</si>
  <si>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</si>
  <si>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</si>
  <si>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Unit cost (US$)</t>
  </si>
  <si>
    <t>WFP Comprehensive  Food Security and Vulnerability Analysis 2011-12 (Table 17 )</t>
  </si>
  <si>
    <t>Source National</t>
  </si>
  <si>
    <t>LiST (v5.71)</t>
  </si>
  <si>
    <t xml:space="preserve">   LiST (v5.71):  WHO estimates (2000-2015); http://www.who.int/healthinfo/global_burden_disease/estimates_child_cod_2015/en/</t>
  </si>
  <si>
    <t>LiST (v5.71) , DHS 2013</t>
  </si>
  <si>
    <t>Source: baseline coverage</t>
  </si>
  <si>
    <t>Source: unit cost</t>
  </si>
  <si>
    <t>Default Optima tool</t>
  </si>
  <si>
    <t>Source National:</t>
  </si>
  <si>
    <t>An Investment Framework for Nutrition; Shekar et al. 2017</t>
  </si>
  <si>
    <t>National</t>
  </si>
  <si>
    <t>Kinshasa</t>
  </si>
  <si>
    <t>Kwango</t>
  </si>
  <si>
    <t>Kwilu</t>
  </si>
  <si>
    <t>Mai-Ndombe</t>
  </si>
  <si>
    <t>Kongo Central</t>
  </si>
  <si>
    <t>Équateur</t>
  </si>
  <si>
    <t>Mongala</t>
  </si>
  <si>
    <t>Nord-Ubangi</t>
  </si>
  <si>
    <t>Sud-Ubangi</t>
  </si>
  <si>
    <t>Tshuapa</t>
  </si>
  <si>
    <t>Kasaï</t>
  </si>
  <si>
    <t>Kasaï Central</t>
  </si>
  <si>
    <t>Kasaï Oriental</t>
  </si>
  <si>
    <t>Lomami</t>
  </si>
  <si>
    <t>Sankuru</t>
  </si>
  <si>
    <t>Haut-Katanga</t>
  </si>
  <si>
    <t>Haut-Lomami</t>
  </si>
  <si>
    <t>Lualaba</t>
  </si>
  <si>
    <t>Tanganyika</t>
  </si>
  <si>
    <t>Maniema</t>
  </si>
  <si>
    <t>Nord-Kivu</t>
  </si>
  <si>
    <t>Bas-Uele</t>
  </si>
  <si>
    <t>Haut-Uele</t>
  </si>
  <si>
    <t>Ituri</t>
  </si>
  <si>
    <t>Tshopo</t>
  </si>
  <si>
    <t>Sud-Kivu</t>
  </si>
  <si>
    <t>Source</t>
  </si>
  <si>
    <t>Notes</t>
  </si>
  <si>
    <t>DHS 2013-14</t>
  </si>
  <si>
    <t>Calculated for women who were pregnant at the time of the survey</t>
  </si>
  <si>
    <t>Assuming here that severe is diarrhea is defined as diarrhea with blood. Calculated as a percentage of all diarrhea cases in past 2 weeks that were severe (had blood)</t>
  </si>
  <si>
    <t>Diarrhoea episode during the 2 weeks before survey</t>
  </si>
  <si>
    <t>All diarrhoea</t>
  </si>
  <si>
    <t>Diarrhoea with blood</t>
  </si>
  <si>
    <t>All diarrhoea &lt;1 month</t>
  </si>
  <si>
    <t>All diarrhoea 1-5 months</t>
  </si>
  <si>
    <t>All diarrhoea 6-11 months</t>
  </si>
  <si>
    <t>All diarrhoea 12-23 months</t>
  </si>
  <si>
    <t>All diarrhoea 24-59 months</t>
  </si>
  <si>
    <t>Malaria prevalence 0-5 yrs - Blood smear</t>
  </si>
  <si>
    <t>Malaria prevalence 0-5 yrs - Rapid diagnostic test</t>
  </si>
  <si>
    <t>DHS - all diarrhoea 0-59 months</t>
  </si>
  <si>
    <t>Any method (% of married women age 15-49)</t>
  </si>
  <si>
    <t>Modern method (% of married women age 15-49)</t>
  </si>
  <si>
    <t>% of women aged 15-49 who had a live birth during 2 yrs preceding survey, and during most recent pregnancy, received SP / Fansidar during an antenatal visit</t>
  </si>
  <si>
    <t>% of women aged 15-49 who had a live birth during 2 yrs preceding survey, and during most recent pregnancy, took two or more doses and received at least one during a prenatal visit</t>
  </si>
  <si>
    <t>Among  children under 5 yrs who had diarrhoea episode during 2 weeks before survey</t>
  </si>
  <si>
    <t>Among youngest child age 6-59 months, % who were given vitamin A supplementation in past 6 months</t>
  </si>
  <si>
    <t xml:space="preserve">Among women who had live-birth in past five years, % who received a dose of Vitamin A post-partum for most recent born child </t>
  </si>
  <si>
    <t>Maternal mortality (per 100,000 live births)</t>
  </si>
  <si>
    <t>Four or more ANC visits</t>
  </si>
  <si>
    <t>Children age 12-23 months that received all recommended vaccines</t>
  </si>
  <si>
    <t>(http://datacompass.lshtm.ac.uk/115/</t>
  </si>
  <si>
    <t>Lee AC, Katz J, Blencowe H, et al. National and regional estimates of term and preterm babies born small for gestational age in 138 low-income and middle-income countries in 2010. Lancet Global Health 2013; 1(1): e26-36.</t>
  </si>
  <si>
    <t>Walker, Christa L. Fischer, et al. "Global burden of childhood pneumonia and diarrhoea." The Lancet 381.9875 (2013): 1405-1416.</t>
  </si>
  <si>
    <t>WHO estimates 1996-2012. Source: Stevens GA, Finucane MM, De-Regil LM, et al. Global, regional, and national trends in haemoglobin concentration and prevalence of total and severe anaemia in children and pregnant and non-pregnant women for 1995-2011: a systematic analysis of population-representative data. Lancet Global Health 2013; 1(1): e16-25. http://www.ncbi.nlm.nih.gov/pubmed/25103581. (Unpublished data from the authors.)</t>
  </si>
  <si>
    <t>No data in DHS - NATIONAL estimate</t>
  </si>
  <si>
    <t>NATIONAL estimate</t>
  </si>
  <si>
    <t>For women who had birth in past 5 yrs, percentage who took iron - NOTE - no infomration about whether given in hospital or community, and no information about folic acid</t>
  </si>
  <si>
    <t>Not available</t>
  </si>
  <si>
    <t>Notes: baseline coverage</t>
  </si>
  <si>
    <t xml:space="preserve">Ministere du plan - Institut National de la Statistique. 2017. Annuaire Statistique 2015. </t>
  </si>
  <si>
    <t>Percentage of population living below $1.90</t>
  </si>
  <si>
    <t>Mapped from old to new provinces</t>
  </si>
  <si>
    <t>2012-13 Household consumption survey</t>
  </si>
  <si>
    <t>Use National figure for proportion of population engaged in informal agriculture</t>
  </si>
  <si>
    <t>No data in DHS - used national estimate from List</t>
  </si>
  <si>
    <t>No data in DHS - used national estimate from datacompass</t>
  </si>
  <si>
    <t>No data in DHS - used national estimate from Lee et al</t>
  </si>
  <si>
    <t>No data in DHS - used national data form Walker</t>
  </si>
  <si>
    <t>Nord-Ubangi Baseline Coverate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</si>
</sst>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33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i/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2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</cellStyleXfs>
  <cellXfs count="159">
    <xf numFmtId="0" fontId="0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9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2" fontId="0" fillId="2" borderId="1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10" fontId="0" fillId="0" borderId="0" xfId="0" applyNumberFormat="1" applyFont="1" applyAlignment="1"/>
    <xf numFmtId="0" fontId="9" fillId="0" borderId="0" xfId="0" applyFont="1" applyAlignment="1">
      <alignment wrapText="1"/>
    </xf>
    <xf numFmtId="0" fontId="4" fillId="0" borderId="0" xfId="0" applyFont="1" applyFill="1" applyBorder="1" applyAlignment="1">
      <alignment horizontal="right"/>
    </xf>
    <xf numFmtId="0" fontId="11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5" fillId="0" borderId="0" xfId="0" applyFont="1" applyAlignment="1"/>
    <xf numFmtId="0" fontId="5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5" fillId="0" borderId="0" xfId="0" applyFont="1" applyAlignment="1">
      <alignment horizontal="right"/>
    </xf>
    <xf numFmtId="43" fontId="5" fillId="0" borderId="0" xfId="0" applyNumberFormat="1" applyFont="1" applyAlignment="1"/>
    <xf numFmtId="0" fontId="9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5" fillId="0" borderId="0" xfId="0" applyFont="1" applyAlignment="1">
      <alignment wrapText="1"/>
    </xf>
    <xf numFmtId="164" fontId="5" fillId="2" borderId="1" xfId="0" applyNumberFormat="1" applyFont="1" applyFill="1" applyBorder="1" applyAlignment="1"/>
    <xf numFmtId="164" fontId="10" fillId="3" borderId="1" xfId="9" applyNumberFormat="1" applyFont="1" applyFill="1" applyBorder="1" applyAlignment="1"/>
    <xf numFmtId="0" fontId="5" fillId="0" borderId="0" xfId="0" applyFont="1" applyAlignment="1">
      <alignment horizontal="right" wrapText="1"/>
    </xf>
    <xf numFmtId="0" fontId="5" fillId="0" borderId="0" xfId="0" applyFont="1" applyAlignment="1">
      <alignment horizontal="right" vertical="center"/>
    </xf>
    <xf numFmtId="1" fontId="10" fillId="3" borderId="1" xfId="9" applyNumberFormat="1" applyFont="1" applyFill="1" applyBorder="1" applyAlignment="1">
      <alignment horizontal="right"/>
    </xf>
    <xf numFmtId="0" fontId="4" fillId="0" borderId="0" xfId="0" applyFont="1" applyAlignment="1">
      <alignment horizontal="right" wrapText="1"/>
    </xf>
    <xf numFmtId="165" fontId="10" fillId="3" borderId="1" xfId="9" applyNumberFormat="1" applyFont="1" applyFill="1" applyBorder="1" applyAlignment="1">
      <alignment horizontal="right"/>
    </xf>
    <xf numFmtId="0" fontId="3" fillId="0" borderId="0" xfId="0" applyFont="1" applyAlignment="1">
      <alignment wrapText="1"/>
    </xf>
    <xf numFmtId="166" fontId="5" fillId="2" borderId="1" xfId="0" applyNumberFormat="1" applyFont="1" applyFill="1" applyBorder="1" applyAlignment="1">
      <alignment horizontal="right"/>
    </xf>
    <xf numFmtId="166" fontId="5" fillId="0" borderId="0" xfId="0" applyNumberFormat="1" applyFont="1" applyAlignment="1"/>
    <xf numFmtId="0" fontId="4" fillId="0" borderId="0" xfId="0" applyFont="1" applyFill="1" applyBorder="1" applyAlignment="1">
      <alignment horizontal="right" vertical="center" wrapText="1"/>
    </xf>
    <xf numFmtId="0" fontId="3" fillId="0" borderId="0" xfId="0" applyFont="1" applyAlignment="1">
      <alignment horizontal="right" wrapText="1"/>
    </xf>
    <xf numFmtId="0" fontId="13" fillId="0" borderId="0" xfId="0" applyFont="1" applyAlignment="1">
      <alignment horizontal="right" vertical="center"/>
    </xf>
    <xf numFmtId="166" fontId="10" fillId="3" borderId="1" xfId="10" applyNumberFormat="1" applyFont="1" applyFill="1" applyBorder="1" applyAlignment="1">
      <alignment horizontal="right"/>
    </xf>
    <xf numFmtId="0" fontId="0" fillId="0" borderId="0" xfId="0" applyFont="1" applyFill="1" applyAlignment="1">
      <alignment horizontal="right"/>
    </xf>
    <xf numFmtId="0" fontId="5" fillId="0" borderId="0" xfId="0" applyFont="1" applyFill="1" applyBorder="1" applyAlignment="1">
      <alignment horizontal="right"/>
    </xf>
    <xf numFmtId="2" fontId="10" fillId="3" borderId="0" xfId="0" applyNumberFormat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5" fillId="0" borderId="0" xfId="725" applyFont="1" applyAlignment="1"/>
    <xf numFmtId="0" fontId="5" fillId="0" borderId="0" xfId="725" applyFont="1" applyFill="1" applyAlignment="1"/>
    <xf numFmtId="0" fontId="5" fillId="0" borderId="0" xfId="725" applyNumberFormat="1" applyFont="1" applyFill="1" applyAlignment="1"/>
    <xf numFmtId="0" fontId="16" fillId="0" borderId="0" xfId="725" applyNumberFormat="1" applyFont="1" applyAlignment="1"/>
    <xf numFmtId="0" fontId="16" fillId="0" borderId="0" xfId="725" applyFont="1" applyAlignment="1"/>
    <xf numFmtId="0" fontId="9" fillId="0" borderId="0" xfId="725" applyFont="1" applyAlignment="1"/>
    <xf numFmtId="0" fontId="17" fillId="0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0" fontId="4" fillId="0" borderId="0" xfId="725" applyFont="1" applyAlignment="1"/>
    <xf numFmtId="0" fontId="5" fillId="0" borderId="2" xfId="725" applyFont="1" applyBorder="1" applyAlignment="1"/>
    <xf numFmtId="0" fontId="5" fillId="0" borderId="0" xfId="725" applyFont="1" applyBorder="1" applyAlignment="1"/>
    <xf numFmtId="166" fontId="5" fillId="2" borderId="1" xfId="725" applyNumberFormat="1" applyFont="1" applyFill="1" applyBorder="1" applyAlignment="1">
      <alignment horizontal="right" vertical="center"/>
    </xf>
    <xf numFmtId="0" fontId="9" fillId="0" borderId="6" xfId="725" applyFont="1" applyBorder="1" applyAlignment="1"/>
    <xf numFmtId="0" fontId="9" fillId="0" borderId="5" xfId="725" applyFont="1" applyBorder="1" applyAlignment="1"/>
    <xf numFmtId="0" fontId="9" fillId="0" borderId="1" xfId="725" applyFont="1" applyBorder="1" applyAlignment="1"/>
    <xf numFmtId="0" fontId="4" fillId="0" borderId="0" xfId="726" applyFont="1" applyFill="1" applyAlignment="1">
      <alignment horizontal="right"/>
    </xf>
    <xf numFmtId="9" fontId="4" fillId="2" borderId="1" xfId="725" applyNumberFormat="1" applyFont="1" applyFill="1" applyBorder="1" applyAlignment="1"/>
    <xf numFmtId="2" fontId="4" fillId="2" borderId="1" xfId="725" applyNumberFormat="1" applyFont="1" applyFill="1" applyBorder="1" applyAlignment="1"/>
    <xf numFmtId="0" fontId="3" fillId="0" borderId="0" xfId="725" applyFont="1" applyAlignment="1"/>
    <xf numFmtId="0" fontId="3" fillId="0" borderId="0" xfId="725" applyFont="1" applyAlignment="1">
      <alignment wrapText="1"/>
    </xf>
    <xf numFmtId="0" fontId="3" fillId="0" borderId="0" xfId="725" applyFont="1" applyFill="1" applyAlignment="1"/>
    <xf numFmtId="0" fontId="2" fillId="0" borderId="0" xfId="726"/>
    <xf numFmtId="2" fontId="2" fillId="0" borderId="0" xfId="726" applyNumberFormat="1"/>
    <xf numFmtId="0" fontId="2" fillId="0" borderId="0" xfId="726" applyFont="1" applyAlignment="1"/>
    <xf numFmtId="0" fontId="18" fillId="0" borderId="0" xfId="726" applyFont="1"/>
    <xf numFmtId="0" fontId="9" fillId="0" borderId="0" xfId="726" applyFont="1" applyAlignment="1"/>
    <xf numFmtId="0" fontId="9" fillId="0" borderId="0" xfId="726" applyFont="1" applyAlignment="1">
      <alignment wrapText="1"/>
    </xf>
    <xf numFmtId="0" fontId="9" fillId="0" borderId="0" xfId="0" applyFont="1" applyFill="1" applyAlignment="1"/>
    <xf numFmtId="0" fontId="5" fillId="0" borderId="0" xfId="725" applyFont="1" applyFill="1" applyAlignment="1">
      <alignment horizontal="right"/>
    </xf>
    <xf numFmtId="0" fontId="22" fillId="0" borderId="0" xfId="0" applyFont="1" applyFill="1" applyAlignment="1"/>
    <xf numFmtId="0" fontId="9" fillId="0" borderId="2" xfId="725" applyFont="1" applyBorder="1" applyAlignment="1"/>
    <xf numFmtId="0" fontId="5" fillId="2" borderId="1" xfId="10" applyNumberFormat="1" applyFont="1" applyFill="1" applyBorder="1" applyAlignment="1">
      <alignment horizontal="right"/>
    </xf>
    <xf numFmtId="0" fontId="5" fillId="2" borderId="1" xfId="10" applyNumberFormat="1" applyFont="1" applyFill="1" applyBorder="1" applyAlignment="1"/>
    <xf numFmtId="0" fontId="5" fillId="2" borderId="1" xfId="725" applyNumberFormat="1" applyFont="1" applyFill="1" applyBorder="1" applyAlignment="1">
      <alignment horizontal="right" vertical="center"/>
    </xf>
    <xf numFmtId="0" fontId="21" fillId="3" borderId="4" xfId="725" applyNumberFormat="1" applyFont="1" applyFill="1" applyBorder="1" applyAlignment="1"/>
    <xf numFmtId="0" fontId="5" fillId="3" borderId="3" xfId="725" applyNumberFormat="1" applyFont="1" applyFill="1" applyBorder="1" applyAlignment="1"/>
    <xf numFmtId="0" fontId="5" fillId="3" borderId="2" xfId="725" applyNumberFormat="1" applyFont="1" applyFill="1" applyBorder="1" applyAlignment="1"/>
    <xf numFmtId="0" fontId="5" fillId="0" borderId="0" xfId="725" applyNumberFormat="1" applyFont="1" applyAlignment="1"/>
    <xf numFmtId="164" fontId="5" fillId="2" borderId="1" xfId="9" applyNumberFormat="1" applyFont="1" applyFill="1" applyBorder="1" applyAlignment="1">
      <alignment horizontal="center"/>
    </xf>
    <xf numFmtId="164" fontId="5" fillId="2" borderId="1" xfId="9" applyNumberFormat="1" applyFont="1" applyFill="1" applyBorder="1" applyAlignment="1"/>
    <xf numFmtId="10" fontId="4" fillId="2" borderId="1" xfId="10" applyNumberFormat="1" applyFont="1" applyFill="1" applyBorder="1" applyAlignment="1">
      <alignment horizontal="right"/>
    </xf>
    <xf numFmtId="10" fontId="5" fillId="2" borderId="2" xfId="10" applyNumberFormat="1" applyFont="1" applyFill="1" applyBorder="1" applyAlignment="1">
      <alignment horizontal="right"/>
    </xf>
    <xf numFmtId="0" fontId="5" fillId="0" borderId="0" xfId="0" applyFont="1" applyAlignment="1">
      <alignment horizontal="left" indent="1"/>
    </xf>
    <xf numFmtId="43" fontId="5" fillId="0" borderId="0" xfId="0" applyNumberFormat="1" applyFont="1" applyAlignment="1">
      <alignment horizontal="left" indent="1"/>
    </xf>
    <xf numFmtId="0" fontId="9" fillId="5" borderId="1" xfId="0" applyFont="1" applyFill="1" applyBorder="1" applyAlignment="1">
      <alignment horizontal="left" indent="1"/>
    </xf>
    <xf numFmtId="0" fontId="5" fillId="0" borderId="0" xfId="0" applyFont="1" applyFill="1" applyAlignment="1">
      <alignment horizontal="right" wrapText="1"/>
    </xf>
    <xf numFmtId="0" fontId="9" fillId="5" borderId="1" xfId="0" applyFont="1" applyFill="1" applyBorder="1" applyAlignment="1">
      <alignment horizontal="left" wrapText="1" indent="1"/>
    </xf>
    <xf numFmtId="0" fontId="5" fillId="5" borderId="1" xfId="725" applyFont="1" applyFill="1" applyBorder="1" applyAlignment="1"/>
    <xf numFmtId="0" fontId="4" fillId="5" borderId="1" xfId="725" applyFont="1" applyFill="1" applyBorder="1" applyAlignment="1"/>
    <xf numFmtId="0" fontId="9" fillId="5" borderId="1" xfId="0" applyFont="1" applyFill="1" applyBorder="1" applyAlignment="1">
      <alignment horizontal="left" wrapText="1"/>
    </xf>
    <xf numFmtId="0" fontId="3" fillId="4" borderId="0" xfId="726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9" fillId="5" borderId="1" xfId="0" applyFont="1" applyFill="1" applyBorder="1" applyAlignment="1">
      <alignment horizontal="right" indent="1"/>
    </xf>
    <xf numFmtId="0" fontId="26" fillId="0" borderId="0" xfId="727" applyFont="1" applyFill="1"/>
    <xf numFmtId="0" fontId="27" fillId="0" borderId="0" xfId="727" applyFont="1" applyFill="1"/>
    <xf numFmtId="166" fontId="0" fillId="0" borderId="0" xfId="10" applyNumberFormat="1" applyFont="1"/>
    <xf numFmtId="0" fontId="0" fillId="0" borderId="0" xfId="0"/>
    <xf numFmtId="0" fontId="28" fillId="0" borderId="0" xfId="0" applyFont="1"/>
    <xf numFmtId="167" fontId="5" fillId="0" borderId="0" xfId="0" applyNumberFormat="1" applyFont="1" applyAlignment="1"/>
    <xf numFmtId="0" fontId="29" fillId="0" borderId="0" xfId="0" applyFont="1" applyAlignment="1">
      <alignment horizontal="right"/>
    </xf>
    <xf numFmtId="0" fontId="4" fillId="0" borderId="0" xfId="0" applyFont="1" applyFill="1" applyAlignment="1">
      <alignment horizontal="right" wrapText="1"/>
    </xf>
    <xf numFmtId="166" fontId="0" fillId="0" borderId="0" xfId="0" applyNumberFormat="1"/>
    <xf numFmtId="166" fontId="0" fillId="0" borderId="0" xfId="0" applyNumberFormat="1" applyFont="1" applyAlignment="1"/>
    <xf numFmtId="0" fontId="5" fillId="5" borderId="1" xfId="0" applyFont="1" applyFill="1" applyBorder="1" applyAlignment="1">
      <alignment horizontal="left" vertical="center" wrapText="1"/>
    </xf>
    <xf numFmtId="166" fontId="5" fillId="0" borderId="0" xfId="10" applyNumberFormat="1" applyFont="1" applyAlignment="1"/>
    <xf numFmtId="0" fontId="30" fillId="0" borderId="0" xfId="0" applyFont="1" applyAlignment="1"/>
    <xf numFmtId="166" fontId="0" fillId="0" borderId="0" xfId="10" applyNumberFormat="1" applyFont="1" applyAlignment="1"/>
    <xf numFmtId="0" fontId="5" fillId="5" borderId="1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/>
    <xf numFmtId="0" fontId="5" fillId="5" borderId="1" xfId="0" applyFont="1" applyFill="1" applyBorder="1" applyAlignment="1">
      <alignment horizontal="left" wrapText="1"/>
    </xf>
    <xf numFmtId="0" fontId="5" fillId="5" borderId="1" xfId="0" applyFont="1" applyFill="1" applyBorder="1" applyAlignment="1"/>
    <xf numFmtId="0" fontId="31" fillId="5" borderId="1" xfId="0" applyFont="1" applyFill="1" applyBorder="1"/>
    <xf numFmtId="0" fontId="32" fillId="5" borderId="1" xfId="727" applyFont="1" applyFill="1" applyBorder="1"/>
    <xf numFmtId="0" fontId="4" fillId="5" borderId="1" xfId="726" applyFont="1" applyFill="1" applyBorder="1" applyAlignment="1">
      <alignment horizontal="left"/>
    </xf>
    <xf numFmtId="2" fontId="10" fillId="2" borderId="1" xfId="725" applyNumberFormat="1" applyFont="1" applyFill="1" applyBorder="1" applyAlignment="1"/>
    <xf numFmtId="0" fontId="10" fillId="2" borderId="1" xfId="725" applyFont="1" applyFill="1" applyBorder="1" applyAlignment="1"/>
    <xf numFmtId="2" fontId="10" fillId="2" borderId="1" xfId="725" quotePrefix="1" applyNumberFormat="1" applyFont="1" applyFill="1" applyBorder="1" applyAlignment="1"/>
    <xf numFmtId="167" fontId="5" fillId="0" borderId="0" xfId="0" applyNumberFormat="1" applyFont="1" applyFill="1" applyBorder="1" applyAlignment="1"/>
    <xf numFmtId="0" fontId="28" fillId="0" borderId="0" xfId="0" applyFont="1" applyFill="1" applyBorder="1"/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0" fontId="5" fillId="5" borderId="3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vertical="center"/>
    </xf>
    <xf numFmtId="9" fontId="10" fillId="0" borderId="0" xfId="10" applyFont="1" applyFill="1" applyBorder="1" applyAlignment="1"/>
    <xf numFmtId="0" fontId="5" fillId="5" borderId="3" xfId="0" applyFont="1" applyFill="1" applyBorder="1" applyAlignment="1">
      <alignment horizontal="left" vertical="center" wrapText="1"/>
    </xf>
    <xf numFmtId="0" fontId="5" fillId="5" borderId="3" xfId="0" applyFont="1" applyFill="1" applyBorder="1" applyAlignment="1"/>
    <xf numFmtId="166" fontId="0" fillId="2" borderId="1" xfId="10" applyNumberFormat="1" applyFont="1" applyFill="1" applyBorder="1"/>
    <xf numFmtId="166" fontId="5" fillId="2" borderId="1" xfId="10" applyNumberFormat="1" applyFont="1" applyFill="1" applyBorder="1" applyAlignment="1"/>
    <xf numFmtId="166" fontId="5" fillId="2" borderId="1" xfId="10" applyNumberFormat="1" applyFont="1" applyFill="1" applyBorder="1" applyAlignment="1">
      <alignment horizontal="right" indent="1"/>
    </xf>
    <xf numFmtId="167" fontId="0" fillId="2" borderId="1" xfId="0" applyNumberFormat="1" applyFill="1" applyBorder="1"/>
    <xf numFmtId="166" fontId="0" fillId="2" borderId="1" xfId="10" applyNumberFormat="1" applyFont="1" applyFill="1" applyBorder="1" applyAlignment="1"/>
    <xf numFmtId="167" fontId="5" fillId="2" borderId="1" xfId="0" applyNumberFormat="1" applyFont="1" applyFill="1" applyBorder="1" applyAlignment="1"/>
    <xf numFmtId="0" fontId="5" fillId="0" borderId="0" xfId="0" applyNumberFormat="1" applyFont="1" applyAlignment="1"/>
    <xf numFmtId="166" fontId="1" fillId="2" borderId="1" xfId="10" applyNumberFormat="1" applyFont="1" applyFill="1" applyBorder="1"/>
    <xf numFmtId="166" fontId="5" fillId="2" borderId="1" xfId="10" applyNumberFormat="1" applyFont="1" applyFill="1" applyBorder="1" applyAlignment="1">
      <alignment horizontal="right"/>
    </xf>
    <xf numFmtId="0" fontId="0" fillId="2" borderId="1" xfId="0" applyFill="1" applyBorder="1"/>
    <xf numFmtId="10" fontId="0" fillId="2" borderId="1" xfId="10" applyNumberFormat="1" applyFont="1" applyFill="1" applyBorder="1"/>
    <xf numFmtId="166" fontId="0" fillId="2" borderId="1" xfId="0" applyNumberFormat="1" applyFill="1" applyBorder="1"/>
    <xf numFmtId="0" fontId="5" fillId="2" borderId="1" xfId="725" applyFont="1" applyFill="1" applyBorder="1" applyAlignment="1"/>
    <xf numFmtId="0" fontId="5" fillId="5" borderId="5" xfId="0" applyFont="1" applyFill="1" applyBorder="1" applyAlignment="1">
      <alignment vertical="center" wrapText="1"/>
    </xf>
    <xf numFmtId="0" fontId="5" fillId="5" borderId="7" xfId="0" applyFont="1" applyFill="1" applyBorder="1" applyAlignment="1">
      <alignment vertical="center" wrapText="1"/>
    </xf>
    <xf numFmtId="0" fontId="5" fillId="5" borderId="8" xfId="0" applyFont="1" applyFill="1" applyBorder="1" applyAlignment="1">
      <alignment vertical="center" wrapText="1"/>
    </xf>
    <xf numFmtId="43" fontId="5" fillId="5" borderId="3" xfId="0" applyNumberFormat="1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 wrapText="1" indent="1"/>
    </xf>
    <xf numFmtId="0" fontId="5" fillId="5" borderId="1" xfId="0" applyFont="1" applyFill="1" applyBorder="1" applyAlignment="1">
      <alignment horizontal="left" vertical="center"/>
    </xf>
    <xf numFmtId="43" fontId="5" fillId="5" borderId="1" xfId="0" applyNumberFormat="1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0" fillId="5" borderId="1" xfId="0" applyFont="1" applyFill="1" applyBorder="1" applyAlignment="1">
      <alignment horizontal="left" vertical="center" wrapText="1"/>
    </xf>
    <xf numFmtId="10" fontId="5" fillId="5" borderId="1" xfId="0" applyNumberFormat="1" applyFont="1" applyFill="1" applyBorder="1" applyAlignment="1">
      <alignment horizontal="center"/>
    </xf>
    <xf numFmtId="10" fontId="0" fillId="5" borderId="1" xfId="0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25" fillId="5" borderId="1" xfId="0" applyFont="1" applyFill="1" applyBorder="1" applyAlignment="1">
      <alignment horizontal="center" vertical="center" wrapText="1"/>
    </xf>
    <xf numFmtId="0" fontId="5" fillId="5" borderId="1" xfId="725" applyFont="1" applyFill="1" applyBorder="1" applyAlignment="1">
      <alignment horizontal="center" vertical="center" wrapText="1"/>
    </xf>
    <xf numFmtId="0" fontId="26" fillId="0" borderId="0" xfId="727" applyFont="1" applyFill="1" applyAlignment="1">
      <alignment wrapText="1"/>
    </xf>
  </cellXfs>
  <cellStyles count="72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4020000}"/>
    <cellStyle name="Normal 3" xfId="726" xr:uid="{00000000-0005-0000-0000-0000D5020000}"/>
    <cellStyle name="Normal 4" xfId="727" xr:uid="{00000000-0005-0000-0000-000003030000}"/>
    <cellStyle name="Percent" xfId="10" builtinId="5"/>
    <cellStyle name="Percent 2" xfId="728" xr:uid="{00000000-0005-0000-0000-000004030000}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CCFFCC"/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19</xdr:row>
      <xdr:rowOff>0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AI72"/>
  <sheetViews>
    <sheetView tabSelected="1" topLeftCell="B1" zoomScale="119" zoomScaleNormal="115" workbookViewId="0">
      <selection activeCell="B1" sqref="B1"/>
    </sheetView>
  </sheetViews>
  <sheetFormatPr defaultColWidth="14.36328125" defaultRowHeight="15.75" customHeight="1" x14ac:dyDescent="0.25"/>
  <cols>
    <col min="1" max="1" width="30.6328125" style="15" customWidth="1"/>
    <col min="2" max="2" width="38.54296875" style="19" customWidth="1"/>
    <col min="3" max="3" width="14.36328125" style="15" customWidth="1"/>
    <col min="4" max="4" width="30.453125" style="84" customWidth="1"/>
    <col min="5" max="5" width="58.08984375" style="15" customWidth="1"/>
    <col min="6" max="6" width="10.1796875" style="15" customWidth="1"/>
    <col min="7" max="32" width="14.36328125" style="15" customWidth="1"/>
    <col min="33" max="33" width="19.90625" style="15" customWidth="1"/>
    <col min="34" max="16384" width="14.36328125" style="15"/>
  </cols>
  <sheetData>
    <row r="1" spans="1:34" ht="27" customHeight="1" x14ac:dyDescent="0.35">
      <c r="A1" s="1" t="s">
        <v>100</v>
      </c>
      <c r="B1" s="48" t="s">
        <v>165</v>
      </c>
      <c r="C1" s="95" t="s">
        <v>221</v>
      </c>
      <c r="D1" s="111" t="s">
        <v>240</v>
      </c>
      <c r="E1" s="111" t="s">
        <v>241</v>
      </c>
      <c r="F1" s="95" t="s">
        <v>213</v>
      </c>
      <c r="G1" s="95" t="s">
        <v>214</v>
      </c>
      <c r="H1" s="95" t="s">
        <v>215</v>
      </c>
      <c r="I1" s="95" t="s">
        <v>216</v>
      </c>
      <c r="J1" s="95" t="s">
        <v>217</v>
      </c>
      <c r="K1" s="95" t="s">
        <v>218</v>
      </c>
      <c r="L1" s="95" t="s">
        <v>219</v>
      </c>
      <c r="M1" s="95" t="s">
        <v>220</v>
      </c>
      <c r="N1" s="95" t="s">
        <v>221</v>
      </c>
      <c r="O1" s="95" t="s">
        <v>222</v>
      </c>
      <c r="P1" s="95" t="s">
        <v>223</v>
      </c>
      <c r="Q1" s="95" t="s">
        <v>224</v>
      </c>
      <c r="R1" s="95" t="s">
        <v>225</v>
      </c>
      <c r="S1" s="95" t="s">
        <v>226</v>
      </c>
      <c r="T1" s="95" t="s">
        <v>227</v>
      </c>
      <c r="U1" s="95" t="s">
        <v>228</v>
      </c>
      <c r="V1" s="95" t="s">
        <v>229</v>
      </c>
      <c r="W1" s="95" t="s">
        <v>230</v>
      </c>
      <c r="X1" s="95" t="s">
        <v>231</v>
      </c>
      <c r="Y1" s="95" t="s">
        <v>232</v>
      </c>
      <c r="Z1" s="95" t="s">
        <v>233</v>
      </c>
      <c r="AA1" s="95" t="s">
        <v>234</v>
      </c>
      <c r="AB1" s="95" t="s">
        <v>235</v>
      </c>
      <c r="AC1" s="95" t="s">
        <v>236</v>
      </c>
      <c r="AD1" s="95" t="s">
        <v>237</v>
      </c>
      <c r="AE1" s="95" t="s">
        <v>238</v>
      </c>
      <c r="AF1" s="95" t="s">
        <v>239</v>
      </c>
      <c r="AG1" s="95"/>
      <c r="AH1" s="96"/>
    </row>
    <row r="2" spans="1:34" ht="16" customHeight="1" x14ac:dyDescent="0.3">
      <c r="A2" s="15" t="s">
        <v>192</v>
      </c>
      <c r="B2" s="48"/>
    </row>
    <row r="3" spans="1:34" ht="16" customHeight="1" x14ac:dyDescent="0.3">
      <c r="A3" s="1"/>
      <c r="B3" s="9" t="s">
        <v>194</v>
      </c>
      <c r="C3" s="73">
        <v>2017</v>
      </c>
      <c r="F3" s="73">
        <v>2017</v>
      </c>
      <c r="G3" s="73">
        <v>2017</v>
      </c>
      <c r="H3" s="73">
        <v>2017</v>
      </c>
      <c r="I3" s="73">
        <v>2017</v>
      </c>
      <c r="J3" s="73">
        <v>2017</v>
      </c>
      <c r="K3" s="73">
        <v>2017</v>
      </c>
      <c r="L3" s="73">
        <v>2017</v>
      </c>
      <c r="M3" s="73">
        <v>2017</v>
      </c>
      <c r="N3" s="73">
        <v>2017</v>
      </c>
      <c r="O3" s="73">
        <v>2017</v>
      </c>
      <c r="P3" s="73">
        <v>2017</v>
      </c>
      <c r="Q3" s="73">
        <v>2017</v>
      </c>
      <c r="R3" s="73">
        <v>2017</v>
      </c>
      <c r="S3" s="73">
        <v>2017</v>
      </c>
      <c r="T3" s="73">
        <v>2017</v>
      </c>
      <c r="U3" s="73">
        <v>2017</v>
      </c>
      <c r="V3" s="73">
        <v>2017</v>
      </c>
      <c r="W3" s="73">
        <v>2017</v>
      </c>
      <c r="X3" s="73">
        <v>2017</v>
      </c>
      <c r="Y3" s="73">
        <v>2017</v>
      </c>
      <c r="Z3" s="73">
        <v>2017</v>
      </c>
      <c r="AA3" s="73">
        <v>2017</v>
      </c>
      <c r="AB3" s="73">
        <v>2017</v>
      </c>
      <c r="AC3" s="73">
        <v>2017</v>
      </c>
      <c r="AD3" s="73">
        <v>2017</v>
      </c>
      <c r="AE3" s="73">
        <v>2017</v>
      </c>
      <c r="AF3" s="73">
        <v>2017</v>
      </c>
    </row>
    <row r="4" spans="1:34" ht="16" customHeight="1" x14ac:dyDescent="0.3">
      <c r="A4" s="1"/>
      <c r="B4" s="12" t="s">
        <v>193</v>
      </c>
      <c r="C4" s="74">
        <v>2030</v>
      </c>
      <c r="F4" s="74">
        <v>2030</v>
      </c>
      <c r="G4" s="74">
        <v>2030</v>
      </c>
      <c r="H4" s="74">
        <v>2030</v>
      </c>
      <c r="I4" s="74">
        <v>2030</v>
      </c>
      <c r="J4" s="74">
        <v>2030</v>
      </c>
      <c r="K4" s="74">
        <v>2030</v>
      </c>
      <c r="L4" s="74">
        <v>2030</v>
      </c>
      <c r="M4" s="74">
        <v>2030</v>
      </c>
      <c r="N4" s="74">
        <v>2030</v>
      </c>
      <c r="O4" s="74">
        <v>2030</v>
      </c>
      <c r="P4" s="74">
        <v>2030</v>
      </c>
      <c r="Q4" s="74">
        <v>2030</v>
      </c>
      <c r="R4" s="74">
        <v>2030</v>
      </c>
      <c r="S4" s="74">
        <v>2030</v>
      </c>
      <c r="T4" s="74">
        <v>2030</v>
      </c>
      <c r="U4" s="74">
        <v>2030</v>
      </c>
      <c r="V4" s="74">
        <v>2030</v>
      </c>
      <c r="W4" s="74">
        <v>2030</v>
      </c>
      <c r="X4" s="74">
        <v>2030</v>
      </c>
      <c r="Y4" s="74">
        <v>2030</v>
      </c>
      <c r="Z4" s="74">
        <v>2030</v>
      </c>
      <c r="AA4" s="74">
        <v>2030</v>
      </c>
      <c r="AB4" s="74">
        <v>2030</v>
      </c>
      <c r="AC4" s="74">
        <v>2030</v>
      </c>
      <c r="AD4" s="74">
        <v>2030</v>
      </c>
      <c r="AE4" s="74">
        <v>2030</v>
      </c>
      <c r="AF4" s="74">
        <v>2030</v>
      </c>
    </row>
    <row r="5" spans="1:34" ht="16" customHeight="1" x14ac:dyDescent="0.3">
      <c r="A5" s="1"/>
      <c r="B5" s="48"/>
    </row>
    <row r="6" spans="1:34" ht="15" customHeight="1" x14ac:dyDescent="0.25">
      <c r="A6" s="15" t="s">
        <v>48</v>
      </c>
    </row>
    <row r="7" spans="1:34" ht="15" customHeight="1" x14ac:dyDescent="0.35">
      <c r="B7" s="9" t="s">
        <v>106</v>
      </c>
      <c r="C7" s="137">
        <v>0.6</v>
      </c>
      <c r="D7" s="109" t="s">
        <v>203</v>
      </c>
      <c r="E7" s="113" t="s">
        <v>277</v>
      </c>
      <c r="F7" s="131">
        <v>0.54</v>
      </c>
      <c r="G7" s="137"/>
      <c r="H7" s="137">
        <v>0.45</v>
      </c>
      <c r="I7" s="137">
        <v>0.45</v>
      </c>
      <c r="J7" s="137">
        <v>0.45</v>
      </c>
      <c r="K7" s="137">
        <v>0.5</v>
      </c>
      <c r="L7" s="137">
        <v>0.6</v>
      </c>
      <c r="M7" s="137">
        <v>0.6</v>
      </c>
      <c r="N7" s="137">
        <v>0.6</v>
      </c>
      <c r="O7" s="137">
        <v>0.6</v>
      </c>
      <c r="P7" s="137">
        <v>0.6</v>
      </c>
      <c r="Q7" s="137">
        <v>0.45</v>
      </c>
      <c r="R7" s="137">
        <v>0.45</v>
      </c>
      <c r="S7" s="137">
        <v>0.62</v>
      </c>
      <c r="T7" s="137">
        <v>0.62</v>
      </c>
      <c r="U7" s="137">
        <v>0.62</v>
      </c>
      <c r="V7" s="137">
        <v>0.56999999999999995</v>
      </c>
      <c r="W7" s="137">
        <v>0.56999999999999995</v>
      </c>
      <c r="X7" s="137">
        <v>0.56999999999999995</v>
      </c>
      <c r="Y7" s="137">
        <v>0.56999999999999995</v>
      </c>
      <c r="Z7" s="137">
        <v>0.42</v>
      </c>
      <c r="AA7" s="137">
        <v>0.49</v>
      </c>
      <c r="AB7" s="137">
        <v>0.57999999999999996</v>
      </c>
      <c r="AC7" s="137">
        <v>0.57999999999999996</v>
      </c>
      <c r="AD7" s="137">
        <v>0.57999999999999996</v>
      </c>
      <c r="AE7" s="137">
        <v>0.57999999999999996</v>
      </c>
      <c r="AF7" s="137">
        <v>0.64</v>
      </c>
      <c r="AG7" s="98"/>
    </row>
    <row r="8" spans="1:34" ht="38.25" customHeight="1" x14ac:dyDescent="0.3">
      <c r="A8" s="107"/>
      <c r="B8" s="12" t="s">
        <v>107</v>
      </c>
      <c r="C8" s="130">
        <v>0.33169999999999999</v>
      </c>
      <c r="D8" s="109" t="s">
        <v>242</v>
      </c>
      <c r="E8" s="112" t="s">
        <v>253</v>
      </c>
      <c r="F8" s="130">
        <v>0.22600000000000001</v>
      </c>
      <c r="G8" s="130">
        <v>0.18140000000000001</v>
      </c>
      <c r="H8" s="130">
        <v>0.1032</v>
      </c>
      <c r="I8" s="130">
        <v>8.3099999999999993E-2</v>
      </c>
      <c r="J8" s="130">
        <v>0.2974</v>
      </c>
      <c r="K8" s="130">
        <v>0.23680000000000001</v>
      </c>
      <c r="L8" s="130">
        <v>0.1457</v>
      </c>
      <c r="M8" s="130">
        <v>0.2072</v>
      </c>
      <c r="N8" s="130">
        <v>0.33169999999999999</v>
      </c>
      <c r="O8" s="130">
        <v>0.1691</v>
      </c>
      <c r="P8" s="130">
        <v>0.17960000000000001</v>
      </c>
      <c r="Q8" s="130">
        <v>0.2596</v>
      </c>
      <c r="R8" s="130">
        <v>0.36609999999999998</v>
      </c>
      <c r="S8" s="130">
        <v>0.23430000000000001</v>
      </c>
      <c r="T8" s="130">
        <v>0.37990000000000002</v>
      </c>
      <c r="U8" s="130">
        <v>0.18809999999999999</v>
      </c>
      <c r="V8" s="130">
        <v>0.23119999999999999</v>
      </c>
      <c r="W8" s="130">
        <v>0.28439999999999999</v>
      </c>
      <c r="X8" s="130">
        <v>0.39190000000000003</v>
      </c>
      <c r="Y8" s="130">
        <v>0.48570000000000002</v>
      </c>
      <c r="Z8" s="130">
        <v>0.34210000000000002</v>
      </c>
      <c r="AA8" s="130">
        <v>4.9700000000000001E-2</v>
      </c>
      <c r="AB8" s="130">
        <v>0.54469999999999996</v>
      </c>
      <c r="AC8" s="130">
        <v>0.47899999999999998</v>
      </c>
      <c r="AD8" s="130">
        <v>0.34799999999999998</v>
      </c>
      <c r="AE8" s="130">
        <v>0.2316</v>
      </c>
      <c r="AF8" s="130">
        <v>9.9199999999999997E-2</v>
      </c>
      <c r="AG8" s="98"/>
    </row>
    <row r="9" spans="1:34" ht="38.25" customHeight="1" x14ac:dyDescent="0.3">
      <c r="A9" s="107"/>
      <c r="B9" s="12"/>
      <c r="C9" s="131">
        <v>0.47549999999999998</v>
      </c>
      <c r="D9" s="109" t="s">
        <v>242</v>
      </c>
      <c r="E9" s="112" t="s">
        <v>254</v>
      </c>
      <c r="F9" s="131">
        <v>0.30790000000000001</v>
      </c>
      <c r="G9" s="131">
        <v>0.1709</v>
      </c>
      <c r="H9" s="132">
        <v>0.1933</v>
      </c>
      <c r="I9" s="131">
        <v>0.1444</v>
      </c>
      <c r="J9" s="131">
        <v>0.31130000000000002</v>
      </c>
      <c r="K9" s="131">
        <v>0.47099999999999997</v>
      </c>
      <c r="L9" s="131">
        <v>0.26400000000000001</v>
      </c>
      <c r="M9" s="131">
        <v>0.25319999999999998</v>
      </c>
      <c r="N9" s="131">
        <v>0.47549999999999998</v>
      </c>
      <c r="O9" s="131">
        <v>0.23619999999999999</v>
      </c>
      <c r="P9" s="131">
        <v>0.26629999999999998</v>
      </c>
      <c r="Q9" s="131">
        <v>0.40310000000000001</v>
      </c>
      <c r="R9" s="131">
        <v>0.47689999999999999</v>
      </c>
      <c r="S9" s="131">
        <v>0.37219999999999998</v>
      </c>
      <c r="T9" s="131">
        <v>0.66200000000000003</v>
      </c>
      <c r="U9" s="131">
        <v>0.31490000000000001</v>
      </c>
      <c r="V9" s="131">
        <v>0.2331</v>
      </c>
      <c r="W9" s="131">
        <v>0.433</v>
      </c>
      <c r="X9" s="131">
        <v>0.4254</v>
      </c>
      <c r="Y9" s="131">
        <v>0.66</v>
      </c>
      <c r="Z9" s="131">
        <v>0.44109999999999999</v>
      </c>
      <c r="AA9" s="131">
        <v>2.9100000000000001E-2</v>
      </c>
      <c r="AB9" s="131">
        <v>0.73089999999999999</v>
      </c>
      <c r="AC9" s="131">
        <v>0.66449999999999998</v>
      </c>
      <c r="AD9" s="131">
        <v>0.4405</v>
      </c>
      <c r="AE9" s="131">
        <v>0.25919999999999999</v>
      </c>
      <c r="AF9" s="131">
        <v>0.1195</v>
      </c>
      <c r="AG9" s="98"/>
      <c r="AH9" s="16"/>
    </row>
    <row r="10" spans="1:34" ht="15" customHeight="1" x14ac:dyDescent="0.3">
      <c r="A10" s="107"/>
      <c r="B10" s="12" t="s">
        <v>105</v>
      </c>
      <c r="C10" s="130">
        <v>0.49349999999999999</v>
      </c>
      <c r="D10" s="109" t="s">
        <v>242</v>
      </c>
      <c r="E10" s="113"/>
      <c r="F10" s="131">
        <v>0.58560000000000001</v>
      </c>
      <c r="G10" s="130">
        <v>0.77749999999999997</v>
      </c>
      <c r="H10" s="130">
        <v>0.68230000000000002</v>
      </c>
      <c r="I10" s="130">
        <v>0.73960000000000004</v>
      </c>
      <c r="J10" s="130">
        <v>0.70340000000000003</v>
      </c>
      <c r="K10" s="130">
        <v>0.53339999999999999</v>
      </c>
      <c r="L10" s="130">
        <v>0.63160000000000005</v>
      </c>
      <c r="M10" s="130">
        <v>0.36170000000000002</v>
      </c>
      <c r="N10" s="130">
        <v>0.49349999999999999</v>
      </c>
      <c r="O10" s="130">
        <v>0.43280000000000002</v>
      </c>
      <c r="P10" s="130">
        <v>0.70709999999999995</v>
      </c>
      <c r="Q10" s="130">
        <v>0.48010000000000003</v>
      </c>
      <c r="R10" s="130">
        <v>0.60209999999999997</v>
      </c>
      <c r="S10" s="130">
        <v>0.54400000000000004</v>
      </c>
      <c r="T10" s="130">
        <v>0.57240000000000002</v>
      </c>
      <c r="U10" s="130">
        <v>0.53639999999999999</v>
      </c>
      <c r="V10" s="130">
        <v>0.57110000000000005</v>
      </c>
      <c r="W10" s="130">
        <v>0.54310000000000003</v>
      </c>
      <c r="X10" s="130">
        <v>0.47889999999999999</v>
      </c>
      <c r="Y10" s="130">
        <v>0.36420000000000002</v>
      </c>
      <c r="Z10" s="130">
        <v>0.499</v>
      </c>
      <c r="AA10" s="130">
        <v>0.53339999999999999</v>
      </c>
      <c r="AB10" s="130">
        <v>0.59530000000000005</v>
      </c>
      <c r="AC10" s="130">
        <v>0.46379999999999999</v>
      </c>
      <c r="AD10" s="130">
        <v>0.25440000000000002</v>
      </c>
      <c r="AE10" s="130">
        <v>0.5857</v>
      </c>
      <c r="AF10" s="130">
        <v>0.61370000000000002</v>
      </c>
    </row>
    <row r="11" spans="1:34" ht="15" customHeight="1" x14ac:dyDescent="0.3">
      <c r="A11" s="107"/>
      <c r="B11" s="9" t="s">
        <v>108</v>
      </c>
      <c r="C11" s="130">
        <v>0.42059999999999997</v>
      </c>
      <c r="D11" s="109" t="s">
        <v>242</v>
      </c>
      <c r="E11" s="113" t="s">
        <v>264</v>
      </c>
      <c r="F11" s="130">
        <v>0.48010000000000003</v>
      </c>
      <c r="G11" s="130">
        <v>0.73929999999999996</v>
      </c>
      <c r="H11" s="130">
        <v>0.27979999999999999</v>
      </c>
      <c r="I11" s="130">
        <v>0.50860000000000005</v>
      </c>
      <c r="J11" s="130">
        <v>0.61119999999999997</v>
      </c>
      <c r="K11" s="130">
        <v>0.38979999999999998</v>
      </c>
      <c r="L11" s="130">
        <v>0.65290000000000004</v>
      </c>
      <c r="M11" s="130">
        <v>0.46760000000000002</v>
      </c>
      <c r="N11" s="130">
        <v>0.42059999999999997</v>
      </c>
      <c r="O11" s="130">
        <v>0.54549999999999998</v>
      </c>
      <c r="P11" s="130">
        <v>0.35699999999999998</v>
      </c>
      <c r="Q11" s="130">
        <v>0.43459999999999999</v>
      </c>
      <c r="R11" s="130">
        <v>0.43219999999999997</v>
      </c>
      <c r="S11" s="130">
        <v>0.56830000000000003</v>
      </c>
      <c r="T11" s="130">
        <v>0.37090000000000001</v>
      </c>
      <c r="U11" s="130">
        <v>0.2767</v>
      </c>
      <c r="V11" s="130">
        <v>0.47470000000000001</v>
      </c>
      <c r="W11" s="130">
        <v>0.4153</v>
      </c>
      <c r="X11" s="130">
        <v>0.52569999999999995</v>
      </c>
      <c r="Y11" s="130">
        <v>0.28739999999999999</v>
      </c>
      <c r="Z11" s="130">
        <v>0.39290000000000003</v>
      </c>
      <c r="AA11" s="130">
        <v>0.56669999999999998</v>
      </c>
      <c r="AB11" s="130">
        <v>0.3906</v>
      </c>
      <c r="AC11" s="130">
        <v>0.47360000000000002</v>
      </c>
      <c r="AD11" s="130">
        <v>0.56120000000000003</v>
      </c>
      <c r="AE11" s="130">
        <v>0.49070000000000003</v>
      </c>
      <c r="AF11" s="130">
        <v>0.35260000000000002</v>
      </c>
      <c r="AG11" s="98"/>
    </row>
    <row r="12" spans="1:34" ht="15" customHeight="1" x14ac:dyDescent="0.3">
      <c r="A12" s="107"/>
      <c r="B12" s="9" t="s">
        <v>109</v>
      </c>
      <c r="C12" s="130">
        <v>0.35399999999999998</v>
      </c>
      <c r="D12" s="109" t="s">
        <v>242</v>
      </c>
      <c r="E12" s="113" t="s">
        <v>265</v>
      </c>
      <c r="F12" s="130">
        <v>0.45299999999999996</v>
      </c>
      <c r="G12" s="130">
        <v>0.67700000000000005</v>
      </c>
      <c r="H12" s="130">
        <v>0.49200000000000005</v>
      </c>
      <c r="I12" s="130">
        <v>0.38200000000000001</v>
      </c>
      <c r="J12" s="130">
        <v>0.40200000000000002</v>
      </c>
      <c r="K12" s="130">
        <v>0.54700000000000004</v>
      </c>
      <c r="L12" s="130">
        <v>0.501</v>
      </c>
      <c r="M12" s="130">
        <v>5.7999999999999996E-2</v>
      </c>
      <c r="N12" s="130">
        <v>0.35399999999999998</v>
      </c>
      <c r="O12" s="130">
        <v>0.41899999999999998</v>
      </c>
      <c r="P12" s="130">
        <v>0.21199999999999999</v>
      </c>
      <c r="Q12" s="130">
        <v>0.32799999999999996</v>
      </c>
      <c r="R12" s="130">
        <v>0.499</v>
      </c>
      <c r="S12" s="130">
        <v>0.47700000000000004</v>
      </c>
      <c r="T12" s="130">
        <v>0.36899999999999999</v>
      </c>
      <c r="U12" s="130">
        <v>8.3000000000000004E-2</v>
      </c>
      <c r="V12" s="130">
        <v>0.51500000000000001</v>
      </c>
      <c r="W12" s="130">
        <v>0.44900000000000001</v>
      </c>
      <c r="X12" s="130">
        <v>0.317</v>
      </c>
      <c r="Y12" s="130">
        <v>0.13800000000000001</v>
      </c>
      <c r="Z12" s="130">
        <v>0.42</v>
      </c>
      <c r="AA12" s="130">
        <v>0.70599999999999996</v>
      </c>
      <c r="AB12" s="130">
        <v>0.16600000000000001</v>
      </c>
      <c r="AC12" s="130">
        <v>0.215</v>
      </c>
      <c r="AD12" s="130">
        <v>0.47399999999999998</v>
      </c>
      <c r="AE12" s="130">
        <v>0.26100000000000001</v>
      </c>
      <c r="AF12" s="130">
        <v>0.623</v>
      </c>
      <c r="AG12" s="98"/>
    </row>
    <row r="13" spans="1:34" ht="15" customHeight="1" x14ac:dyDescent="0.3">
      <c r="A13" s="107"/>
      <c r="B13" s="9" t="s">
        <v>110</v>
      </c>
      <c r="C13" s="130">
        <v>0.313</v>
      </c>
      <c r="D13" s="109" t="s">
        <v>242</v>
      </c>
      <c r="E13" s="113"/>
      <c r="F13" s="130">
        <v>0.27699999999999997</v>
      </c>
      <c r="G13" s="130">
        <v>0.23399999999999999</v>
      </c>
      <c r="H13" s="130">
        <v>0.316</v>
      </c>
      <c r="I13" s="130">
        <v>0.317</v>
      </c>
      <c r="J13" s="130">
        <v>0.214</v>
      </c>
      <c r="K13" s="130">
        <v>0.27800000000000002</v>
      </c>
      <c r="L13" s="130">
        <v>0.316</v>
      </c>
      <c r="M13" s="130">
        <v>0.42299999999999999</v>
      </c>
      <c r="N13" s="130">
        <v>0.313</v>
      </c>
      <c r="O13" s="130">
        <v>0.36099999999999999</v>
      </c>
      <c r="P13" s="130">
        <v>0.247</v>
      </c>
      <c r="Q13" s="130">
        <v>0.14800000000000002</v>
      </c>
      <c r="R13" s="130">
        <v>0.22500000000000001</v>
      </c>
      <c r="S13" s="130">
        <v>0.21100000000000002</v>
      </c>
      <c r="T13" s="130">
        <v>0.22600000000000001</v>
      </c>
      <c r="U13" s="130">
        <v>0.26500000000000001</v>
      </c>
      <c r="V13" s="130">
        <v>0.311</v>
      </c>
      <c r="W13" s="130">
        <v>0.27500000000000002</v>
      </c>
      <c r="X13" s="130">
        <v>0.28499999999999998</v>
      </c>
      <c r="Y13" s="130">
        <v>0.13400000000000001</v>
      </c>
      <c r="Z13" s="130">
        <v>0.29899999999999999</v>
      </c>
      <c r="AA13" s="130">
        <v>0.375</v>
      </c>
      <c r="AB13" s="130">
        <v>0.33500000000000002</v>
      </c>
      <c r="AC13" s="130">
        <v>0.28399999999999997</v>
      </c>
      <c r="AD13" s="130">
        <v>0.35600000000000004</v>
      </c>
      <c r="AE13" s="130">
        <v>0.20399999999999999</v>
      </c>
      <c r="AF13" s="130">
        <v>0.221</v>
      </c>
      <c r="AG13" s="98"/>
    </row>
    <row r="14" spans="1:34" ht="15" customHeight="1" x14ac:dyDescent="0.25">
      <c r="B14" s="15"/>
    </row>
    <row r="15" spans="1:34" ht="15" customHeight="1" x14ac:dyDescent="0.3">
      <c r="A15" s="15" t="s">
        <v>30</v>
      </c>
      <c r="B15" s="21"/>
    </row>
    <row r="16" spans="1:34" ht="15" customHeight="1" x14ac:dyDescent="0.25">
      <c r="B16" s="12" t="s">
        <v>94</v>
      </c>
      <c r="C16" s="131">
        <v>0.59699999999999998</v>
      </c>
      <c r="D16" s="109" t="s">
        <v>275</v>
      </c>
      <c r="E16" s="113" t="s">
        <v>279</v>
      </c>
      <c r="F16" s="131">
        <v>0.59699999999999998</v>
      </c>
      <c r="G16" s="131">
        <v>0.59699999999999998</v>
      </c>
      <c r="H16" s="131">
        <v>0.59699999999999998</v>
      </c>
      <c r="I16" s="131">
        <v>0.59699999999999998</v>
      </c>
      <c r="J16" s="131">
        <v>0.59699999999999998</v>
      </c>
      <c r="K16" s="131">
        <v>0.59699999999999998</v>
      </c>
      <c r="L16" s="131">
        <v>0.59699999999999998</v>
      </c>
      <c r="M16" s="131">
        <v>0.59699999999999998</v>
      </c>
      <c r="N16" s="131">
        <v>0.59699999999999998</v>
      </c>
      <c r="O16" s="131">
        <v>0.59699999999999998</v>
      </c>
      <c r="P16" s="131">
        <v>0.59699999999999998</v>
      </c>
      <c r="Q16" s="131">
        <v>0.59699999999999998</v>
      </c>
      <c r="R16" s="131">
        <v>0.59699999999999998</v>
      </c>
      <c r="S16" s="131">
        <v>0.59699999999999998</v>
      </c>
      <c r="T16" s="131">
        <v>0.59699999999999998</v>
      </c>
      <c r="U16" s="131">
        <v>0.59699999999999998</v>
      </c>
      <c r="V16" s="131">
        <v>0.59699999999999998</v>
      </c>
      <c r="W16" s="131">
        <v>0.59699999999999998</v>
      </c>
      <c r="X16" s="131">
        <v>0.59699999999999998</v>
      </c>
      <c r="Y16" s="131">
        <v>0.59699999999999998</v>
      </c>
      <c r="Z16" s="131">
        <v>0.59699999999999998</v>
      </c>
      <c r="AA16" s="131">
        <v>0.59699999999999998</v>
      </c>
      <c r="AB16" s="131">
        <v>0.59699999999999998</v>
      </c>
      <c r="AC16" s="131">
        <v>0.59699999999999998</v>
      </c>
      <c r="AD16" s="131">
        <v>0.59699999999999998</v>
      </c>
      <c r="AE16" s="131">
        <v>0.59699999999999998</v>
      </c>
      <c r="AF16" s="131">
        <v>0.59699999999999998</v>
      </c>
    </row>
    <row r="17" spans="1:35" ht="15" customHeight="1" x14ac:dyDescent="0.25">
      <c r="B17" s="12" t="s">
        <v>95</v>
      </c>
      <c r="C17" s="131"/>
      <c r="D17" s="147"/>
      <c r="E17" s="113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  <c r="AA17" s="131"/>
      <c r="AB17" s="131"/>
      <c r="AC17" s="131"/>
      <c r="AD17" s="131"/>
      <c r="AE17" s="131"/>
      <c r="AF17" s="131"/>
    </row>
    <row r="18" spans="1:35" ht="15" customHeight="1" x14ac:dyDescent="0.25">
      <c r="B18" s="12" t="s">
        <v>96</v>
      </c>
      <c r="C18" s="131"/>
      <c r="D18" s="147"/>
      <c r="E18" s="113"/>
      <c r="F18" s="131"/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  <c r="W18" s="131"/>
      <c r="X18" s="131"/>
      <c r="Y18" s="131"/>
      <c r="Z18" s="131"/>
      <c r="AA18" s="131"/>
      <c r="AB18" s="131"/>
      <c r="AC18" s="131"/>
      <c r="AD18" s="131"/>
      <c r="AE18" s="131"/>
      <c r="AF18" s="131"/>
    </row>
    <row r="19" spans="1:35" ht="15" customHeight="1" x14ac:dyDescent="0.25">
      <c r="B19" s="12" t="s">
        <v>97</v>
      </c>
      <c r="C19" s="131"/>
      <c r="D19" s="147"/>
      <c r="E19" s="113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</row>
    <row r="20" spans="1:35" ht="15" customHeight="1" x14ac:dyDescent="0.25">
      <c r="B20" s="12" t="s">
        <v>98</v>
      </c>
      <c r="C20" s="106"/>
      <c r="F20" s="106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</row>
    <row r="21" spans="1:35" ht="15" customHeight="1" x14ac:dyDescent="0.25">
      <c r="B21" s="15"/>
      <c r="C21" s="106"/>
      <c r="F21" s="106"/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</row>
    <row r="22" spans="1:35" ht="15" customHeight="1" x14ac:dyDescent="0.25">
      <c r="A22" s="15" t="s">
        <v>99</v>
      </c>
      <c r="C22" s="106"/>
      <c r="F22" s="106"/>
      <c r="G22" s="106"/>
      <c r="H22" s="106"/>
      <c r="I22" s="106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</row>
    <row r="23" spans="1:35" ht="15" customHeight="1" x14ac:dyDescent="0.35">
      <c r="A23" s="107"/>
      <c r="B23" s="22" t="s">
        <v>101</v>
      </c>
      <c r="C23" s="130">
        <v>0.1113</v>
      </c>
      <c r="D23" s="148" t="s">
        <v>242</v>
      </c>
      <c r="E23" s="114" t="s">
        <v>243</v>
      </c>
      <c r="F23" s="130">
        <v>0.14860000000000001</v>
      </c>
      <c r="G23" s="130">
        <v>0.1726</v>
      </c>
      <c r="H23" s="130">
        <v>7.7299999999999994E-2</v>
      </c>
      <c r="I23" s="130">
        <v>0.1193</v>
      </c>
      <c r="J23" s="130">
        <v>9.9000000000000005E-2</v>
      </c>
      <c r="K23" s="130">
        <v>7.9600000000000004E-2</v>
      </c>
      <c r="L23" s="130">
        <v>0.19020000000000001</v>
      </c>
      <c r="M23" s="130">
        <v>0.36840000000000001</v>
      </c>
      <c r="N23" s="130">
        <v>0.1113</v>
      </c>
      <c r="O23" s="130">
        <v>0.19309999999999999</v>
      </c>
      <c r="P23" s="130">
        <v>0.17019999999999999</v>
      </c>
      <c r="Q23" s="130">
        <v>0.13619999999999999</v>
      </c>
      <c r="R23" s="130">
        <v>0.10680000000000001</v>
      </c>
      <c r="S23" s="130">
        <v>8.1100000000000005E-2</v>
      </c>
      <c r="T23" s="130">
        <v>8.1199999999999994E-2</v>
      </c>
      <c r="U23" s="130">
        <v>0.12330000000000001</v>
      </c>
      <c r="V23" s="130">
        <v>0.1376</v>
      </c>
      <c r="W23" s="130">
        <v>0.20630000000000001</v>
      </c>
      <c r="X23" s="130">
        <v>0.1668</v>
      </c>
      <c r="Y23" s="130">
        <v>0.2331</v>
      </c>
      <c r="Z23" s="130">
        <v>0.13600000000000001</v>
      </c>
      <c r="AA23" s="130">
        <v>0.1411</v>
      </c>
      <c r="AB23" s="130">
        <v>5.8700000000000002E-2</v>
      </c>
      <c r="AC23" s="130">
        <v>0.28660000000000002</v>
      </c>
      <c r="AD23" s="130">
        <v>0.24440000000000001</v>
      </c>
      <c r="AE23" s="130">
        <v>0.29320000000000002</v>
      </c>
      <c r="AF23" s="130">
        <v>0.13489999999999999</v>
      </c>
      <c r="AG23" s="103"/>
      <c r="AH23" s="99"/>
    </row>
    <row r="24" spans="1:35" ht="15" customHeight="1" x14ac:dyDescent="0.35">
      <c r="A24" s="107"/>
      <c r="B24" s="22" t="s">
        <v>102</v>
      </c>
      <c r="C24" s="130">
        <v>0.61439999999999995</v>
      </c>
      <c r="D24" s="148"/>
      <c r="E24" s="114" t="s">
        <v>243</v>
      </c>
      <c r="F24" s="130">
        <v>0.54600000000000004</v>
      </c>
      <c r="G24" s="130">
        <v>0.51080000000000003</v>
      </c>
      <c r="H24" s="130">
        <v>0.62139999999999995</v>
      </c>
      <c r="I24" s="130">
        <v>0.49880000000000002</v>
      </c>
      <c r="J24" s="130">
        <v>0.63480000000000003</v>
      </c>
      <c r="K24" s="130">
        <v>0.58809999999999996</v>
      </c>
      <c r="L24" s="130">
        <v>0.58289999999999997</v>
      </c>
      <c r="M24" s="130">
        <v>0.35210000000000002</v>
      </c>
      <c r="N24" s="130">
        <v>0.61439999999999995</v>
      </c>
      <c r="O24" s="130">
        <v>0.5081</v>
      </c>
      <c r="P24" s="130">
        <v>0.497</v>
      </c>
      <c r="Q24" s="130">
        <v>0.44069999999999998</v>
      </c>
      <c r="R24" s="130">
        <v>0.51339999999999997</v>
      </c>
      <c r="S24" s="130">
        <v>0.67820000000000003</v>
      </c>
      <c r="T24" s="130">
        <v>0.66790000000000005</v>
      </c>
      <c r="U24" s="130">
        <v>0.5988</v>
      </c>
      <c r="V24" s="130">
        <v>0.55410000000000004</v>
      </c>
      <c r="W24" s="130">
        <v>0.56830000000000003</v>
      </c>
      <c r="X24" s="130">
        <v>0.35299999999999998</v>
      </c>
      <c r="Y24" s="130">
        <v>0.51759999999999995</v>
      </c>
      <c r="Z24" s="130">
        <v>0.47139999999999999</v>
      </c>
      <c r="AA24" s="130">
        <v>0.59150000000000003</v>
      </c>
      <c r="AB24" s="130">
        <v>0.52400000000000002</v>
      </c>
      <c r="AC24" s="130">
        <v>0.47420000000000001</v>
      </c>
      <c r="AD24" s="130">
        <v>0.49259999999999998</v>
      </c>
      <c r="AE24" s="130">
        <v>0.44180000000000003</v>
      </c>
      <c r="AF24" s="130">
        <v>0.63929999999999998</v>
      </c>
      <c r="AG24" s="103"/>
      <c r="AH24" s="99"/>
    </row>
    <row r="25" spans="1:35" ht="15" customHeight="1" x14ac:dyDescent="0.35">
      <c r="A25" s="107"/>
      <c r="B25" s="22" t="s">
        <v>103</v>
      </c>
      <c r="C25" s="130">
        <v>0.219</v>
      </c>
      <c r="D25" s="148"/>
      <c r="E25" s="114" t="s">
        <v>243</v>
      </c>
      <c r="F25" s="130">
        <v>0.27029999999999998</v>
      </c>
      <c r="G25" s="130">
        <v>0.27039999999999997</v>
      </c>
      <c r="H25" s="130">
        <v>0.28000000000000003</v>
      </c>
      <c r="I25" s="130">
        <v>0.33710000000000001</v>
      </c>
      <c r="J25" s="130">
        <v>0.23469999999999999</v>
      </c>
      <c r="K25" s="130">
        <v>0.30530000000000002</v>
      </c>
      <c r="L25" s="130">
        <v>0.1993</v>
      </c>
      <c r="M25" s="130">
        <v>0.23230000000000001</v>
      </c>
      <c r="N25" s="130">
        <v>0.219</v>
      </c>
      <c r="O25" s="130">
        <v>0.26669999999999999</v>
      </c>
      <c r="P25" s="130">
        <v>0.26719999999999999</v>
      </c>
      <c r="Q25" s="130">
        <v>0.34970000000000001</v>
      </c>
      <c r="R25" s="130">
        <v>0.33600000000000002</v>
      </c>
      <c r="S25" s="130">
        <v>0.23519999999999999</v>
      </c>
      <c r="T25" s="130">
        <v>0.2455</v>
      </c>
      <c r="U25" s="130">
        <v>0.23899999999999999</v>
      </c>
      <c r="V25" s="130">
        <v>0.27250000000000002</v>
      </c>
      <c r="W25" s="130">
        <v>0.17899999999999999</v>
      </c>
      <c r="X25" s="130">
        <v>0.37280000000000002</v>
      </c>
      <c r="Y25" s="130">
        <v>0.2213</v>
      </c>
      <c r="Z25" s="130">
        <v>0.3664</v>
      </c>
      <c r="AA25" s="130">
        <v>0.24</v>
      </c>
      <c r="AB25" s="130">
        <v>0.4173</v>
      </c>
      <c r="AC25" s="130">
        <v>0.22509999999999999</v>
      </c>
      <c r="AD25" s="130">
        <v>0.23269999999999999</v>
      </c>
      <c r="AE25" s="130">
        <v>0.2049</v>
      </c>
      <c r="AF25" s="130">
        <v>0.20780000000000001</v>
      </c>
      <c r="AG25" s="103"/>
      <c r="AH25" s="99"/>
    </row>
    <row r="26" spans="1:35" ht="15" customHeight="1" x14ac:dyDescent="0.35">
      <c r="A26" s="107"/>
      <c r="B26" s="22" t="s">
        <v>104</v>
      </c>
      <c r="C26" s="130">
        <v>5.5199999999999999E-2</v>
      </c>
      <c r="D26" s="148"/>
      <c r="E26" s="114" t="s">
        <v>243</v>
      </c>
      <c r="F26" s="130">
        <v>3.5099999999999999E-2</v>
      </c>
      <c r="G26" s="130">
        <v>4.6300000000000001E-2</v>
      </c>
      <c r="H26" s="130">
        <v>2.1299999999999999E-2</v>
      </c>
      <c r="I26" s="130">
        <v>4.4699999999999997E-2</v>
      </c>
      <c r="J26" s="130">
        <v>3.1600000000000003E-2</v>
      </c>
      <c r="K26" s="130">
        <v>2.7099999999999999E-2</v>
      </c>
      <c r="L26" s="130">
        <v>2.7699999999999999E-2</v>
      </c>
      <c r="M26" s="130">
        <v>4.7199999999999999E-2</v>
      </c>
      <c r="N26" s="130">
        <v>5.5199999999999999E-2</v>
      </c>
      <c r="O26" s="130">
        <v>3.2099999999999997E-2</v>
      </c>
      <c r="P26" s="130">
        <v>6.5600000000000006E-2</v>
      </c>
      <c r="Q26" s="130">
        <v>7.3499999999999996E-2</v>
      </c>
      <c r="R26" s="130">
        <v>4.3900000000000002E-2</v>
      </c>
      <c r="S26" s="130">
        <v>5.4999999999999997E-3</v>
      </c>
      <c r="T26" s="130">
        <v>5.4000000000000003E-3</v>
      </c>
      <c r="U26" s="130">
        <v>3.8899999999999997E-2</v>
      </c>
      <c r="V26" s="130">
        <v>3.5900000000000001E-2</v>
      </c>
      <c r="W26" s="130">
        <v>4.6399999999999997E-2</v>
      </c>
      <c r="X26" s="130">
        <v>0.1074</v>
      </c>
      <c r="Y26" s="130">
        <v>2.8000000000000001E-2</v>
      </c>
      <c r="Z26" s="130">
        <v>2.6200000000000001E-2</v>
      </c>
      <c r="AA26" s="130">
        <v>2.7400000000000001E-2</v>
      </c>
      <c r="AB26" s="130">
        <v>0</v>
      </c>
      <c r="AC26" s="130">
        <v>1.41E-2</v>
      </c>
      <c r="AD26" s="130">
        <v>3.0300000000000001E-2</v>
      </c>
      <c r="AE26" s="130">
        <v>0.06</v>
      </c>
      <c r="AF26" s="130">
        <v>1.7999999999999999E-2</v>
      </c>
      <c r="AG26" s="103"/>
      <c r="AH26" s="99"/>
    </row>
    <row r="27" spans="1:35" ht="15" customHeight="1" x14ac:dyDescent="0.25">
      <c r="B27" s="22"/>
      <c r="C27" s="106"/>
      <c r="F27" s="106"/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6"/>
      <c r="AD27" s="106"/>
      <c r="AE27" s="106"/>
      <c r="AF27" s="106"/>
    </row>
    <row r="28" spans="1:35" ht="15" customHeight="1" x14ac:dyDescent="0.25">
      <c r="A28" s="15" t="s">
        <v>197</v>
      </c>
      <c r="B28" s="22"/>
      <c r="C28" s="106"/>
      <c r="D28"/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</row>
    <row r="29" spans="1:35" ht="14.25" customHeight="1" x14ac:dyDescent="0.3">
      <c r="A29" s="107"/>
      <c r="B29" s="34" t="s">
        <v>75</v>
      </c>
      <c r="C29" s="134">
        <v>0.21940000000000001</v>
      </c>
      <c r="D29" s="148" t="s">
        <v>242</v>
      </c>
      <c r="E29" s="143"/>
      <c r="F29" s="134">
        <v>0.19400000000000001</v>
      </c>
      <c r="G29" s="134">
        <v>0.26529999999999998</v>
      </c>
      <c r="H29" s="134">
        <v>0.20069999999999999</v>
      </c>
      <c r="I29" s="134">
        <v>0.1739</v>
      </c>
      <c r="J29" s="134">
        <v>0.1832</v>
      </c>
      <c r="K29" s="134">
        <v>0.23930000000000001</v>
      </c>
      <c r="L29" s="134">
        <v>0.1789</v>
      </c>
      <c r="M29" s="134">
        <v>0.14219999999999999</v>
      </c>
      <c r="N29" s="134">
        <v>0.21940000000000001</v>
      </c>
      <c r="O29" s="134">
        <v>0.21360000000000001</v>
      </c>
      <c r="P29" s="134">
        <v>0.20910000000000001</v>
      </c>
      <c r="Q29" s="134">
        <v>0.161</v>
      </c>
      <c r="R29" s="134">
        <v>0.16900000000000001</v>
      </c>
      <c r="S29" s="134">
        <v>0.20250000000000001</v>
      </c>
      <c r="T29" s="134">
        <v>0.19289999999999999</v>
      </c>
      <c r="U29" s="134">
        <v>0.19980000000000001</v>
      </c>
      <c r="V29" s="134">
        <v>0.1782</v>
      </c>
      <c r="W29" s="134">
        <v>0.17899999999999999</v>
      </c>
      <c r="X29" s="134">
        <v>0.153</v>
      </c>
      <c r="Y29" s="134">
        <v>0.17549999999999999</v>
      </c>
      <c r="Z29" s="134">
        <v>0.20219999999999999</v>
      </c>
      <c r="AA29" s="134">
        <v>0.1782</v>
      </c>
      <c r="AB29" s="134">
        <v>0.2208</v>
      </c>
      <c r="AC29" s="134">
        <v>0.28599999999999998</v>
      </c>
      <c r="AD29" s="134">
        <v>0.18329999999999999</v>
      </c>
      <c r="AE29" s="134">
        <v>0.2266</v>
      </c>
      <c r="AF29" s="134">
        <v>0.16220000000000001</v>
      </c>
      <c r="AG29" s="98"/>
    </row>
    <row r="30" spans="1:35" ht="14.25" customHeight="1" x14ac:dyDescent="0.35">
      <c r="A30" s="107"/>
      <c r="B30" s="34" t="s">
        <v>76</v>
      </c>
      <c r="C30" s="134">
        <v>8.3199999999999996E-2</v>
      </c>
      <c r="D30" s="148"/>
      <c r="E30" s="144"/>
      <c r="F30" s="134">
        <v>8.3900000000000002E-2</v>
      </c>
      <c r="G30" s="134">
        <v>7.1800000000000003E-2</v>
      </c>
      <c r="H30" s="134">
        <v>0.12280000000000001</v>
      </c>
      <c r="I30" s="134">
        <v>8.7599999999999997E-2</v>
      </c>
      <c r="J30" s="134">
        <v>4.6899999999999997E-2</v>
      </c>
      <c r="K30" s="134">
        <v>4.9200000000000001E-2</v>
      </c>
      <c r="L30" s="134">
        <v>8.1299999999999997E-2</v>
      </c>
      <c r="M30" s="134">
        <v>8.2400000000000001E-2</v>
      </c>
      <c r="N30" s="134">
        <v>8.3199999999999996E-2</v>
      </c>
      <c r="O30" s="134">
        <v>0.1178</v>
      </c>
      <c r="P30" s="134">
        <v>8.3099999999999993E-2</v>
      </c>
      <c r="Q30" s="134">
        <v>8.1900000000000001E-2</v>
      </c>
      <c r="R30" s="134">
        <v>9.0700000000000003E-2</v>
      </c>
      <c r="S30" s="134">
        <v>7.0400000000000004E-2</v>
      </c>
      <c r="T30" s="134">
        <v>5.2600000000000001E-2</v>
      </c>
      <c r="U30" s="134">
        <v>9.6799999999999997E-2</v>
      </c>
      <c r="V30" s="134">
        <v>0.11899999999999999</v>
      </c>
      <c r="W30" s="134">
        <v>6.1600000000000002E-2</v>
      </c>
      <c r="X30" s="134">
        <v>9.3100000000000002E-2</v>
      </c>
      <c r="Y30" s="134">
        <v>5.5E-2</v>
      </c>
      <c r="Z30" s="134">
        <v>5.9400000000000001E-2</v>
      </c>
      <c r="AA30" s="134">
        <v>8.9200000000000002E-2</v>
      </c>
      <c r="AB30" s="134">
        <v>7.4300000000000005E-2</v>
      </c>
      <c r="AC30" s="134">
        <v>5.67E-2</v>
      </c>
      <c r="AD30" s="134">
        <v>7.7200000000000005E-2</v>
      </c>
      <c r="AE30" s="134">
        <v>5.67E-2</v>
      </c>
      <c r="AF30" s="134">
        <v>0.11890000000000001</v>
      </c>
      <c r="AG30" s="98"/>
      <c r="AH30" s="99"/>
      <c r="AI30" s="98"/>
    </row>
    <row r="31" spans="1:35" ht="14.25" customHeight="1" x14ac:dyDescent="0.35">
      <c r="A31" s="107"/>
      <c r="B31" s="34" t="s">
        <v>77</v>
      </c>
      <c r="C31" s="134">
        <v>0.13789999999999999</v>
      </c>
      <c r="D31" s="148"/>
      <c r="E31" s="144"/>
      <c r="F31" s="134">
        <v>0.13469999999999999</v>
      </c>
      <c r="G31" s="134">
        <v>0.1055</v>
      </c>
      <c r="H31" s="134">
        <v>0.1009</v>
      </c>
      <c r="I31" s="134">
        <v>0.13120000000000001</v>
      </c>
      <c r="J31" s="134">
        <v>9.8500000000000004E-2</v>
      </c>
      <c r="K31" s="134">
        <v>0.1174</v>
      </c>
      <c r="L31" s="134">
        <v>0.105</v>
      </c>
      <c r="M31" s="134">
        <v>0.1777</v>
      </c>
      <c r="N31" s="134">
        <v>0.13789999999999999</v>
      </c>
      <c r="O31" s="134">
        <v>0.15659999999999999</v>
      </c>
      <c r="P31" s="134">
        <v>0.14910000000000001</v>
      </c>
      <c r="Q31" s="134">
        <v>0.14269999999999999</v>
      </c>
      <c r="R31" s="134">
        <v>0.14369999999999999</v>
      </c>
      <c r="S31" s="134">
        <v>0.1454</v>
      </c>
      <c r="T31" s="134">
        <v>0.1328</v>
      </c>
      <c r="U31" s="134">
        <v>0.12889999999999999</v>
      </c>
      <c r="V31" s="134">
        <v>0.14940000000000001</v>
      </c>
      <c r="W31" s="134">
        <v>0.12130000000000001</v>
      </c>
      <c r="X31" s="134">
        <v>0.1399</v>
      </c>
      <c r="Y31" s="134">
        <v>0.1482</v>
      </c>
      <c r="Z31" s="134">
        <v>0.121</v>
      </c>
      <c r="AA31" s="134">
        <v>0.14899999999999999</v>
      </c>
      <c r="AB31" s="134">
        <v>0.16850000000000001</v>
      </c>
      <c r="AC31" s="134">
        <v>0.1084</v>
      </c>
      <c r="AD31" s="134">
        <v>0.10829999999999999</v>
      </c>
      <c r="AE31" s="134">
        <v>0.1109</v>
      </c>
      <c r="AF31" s="134">
        <v>0.17280000000000001</v>
      </c>
      <c r="AG31" s="98"/>
      <c r="AH31" s="99"/>
      <c r="AI31" s="98"/>
    </row>
    <row r="32" spans="1:35" ht="14.25" customHeight="1" x14ac:dyDescent="0.3">
      <c r="A32" s="107"/>
      <c r="B32" s="34" t="s">
        <v>78</v>
      </c>
      <c r="C32" s="134">
        <v>0.55959999999999999</v>
      </c>
      <c r="D32" s="148"/>
      <c r="E32" s="145"/>
      <c r="F32" s="134">
        <v>0.58740000000000003</v>
      </c>
      <c r="G32" s="134">
        <v>0.55740000000000001</v>
      </c>
      <c r="H32" s="134">
        <v>0.57569999999999999</v>
      </c>
      <c r="I32" s="134">
        <v>0.60740000000000005</v>
      </c>
      <c r="J32" s="134">
        <v>0.67149999999999999</v>
      </c>
      <c r="K32" s="134">
        <v>0.59409999999999996</v>
      </c>
      <c r="L32" s="134">
        <v>0.63490000000000002</v>
      </c>
      <c r="M32" s="134">
        <v>0.59770000000000001</v>
      </c>
      <c r="N32" s="134">
        <v>0.55959999999999999</v>
      </c>
      <c r="O32" s="134">
        <v>0.51200000000000001</v>
      </c>
      <c r="P32" s="134">
        <v>0.55879999999999996</v>
      </c>
      <c r="Q32" s="134">
        <v>0.61439999999999995</v>
      </c>
      <c r="R32" s="134">
        <v>0.59660000000000002</v>
      </c>
      <c r="S32" s="134">
        <v>0.58179999999999998</v>
      </c>
      <c r="T32" s="134">
        <v>0.62170000000000003</v>
      </c>
      <c r="U32" s="134">
        <v>0.57450000000000001</v>
      </c>
      <c r="V32" s="134">
        <v>0.5534</v>
      </c>
      <c r="W32" s="134">
        <v>0.63819999999999999</v>
      </c>
      <c r="X32" s="134">
        <v>0.61399999999999999</v>
      </c>
      <c r="Y32" s="134">
        <v>0.62129999999999996</v>
      </c>
      <c r="Z32" s="134">
        <v>0.61729999999999996</v>
      </c>
      <c r="AA32" s="134">
        <v>0.58350000000000002</v>
      </c>
      <c r="AB32" s="134">
        <v>0.53639999999999999</v>
      </c>
      <c r="AC32" s="134">
        <v>0.54890000000000005</v>
      </c>
      <c r="AD32" s="134">
        <v>0.63129999999999997</v>
      </c>
      <c r="AE32" s="134">
        <v>0.60580000000000001</v>
      </c>
      <c r="AF32" s="134">
        <v>0.54600000000000004</v>
      </c>
      <c r="AG32" s="98"/>
    </row>
    <row r="33" spans="1:34" ht="13" x14ac:dyDescent="0.25">
      <c r="B33" s="36" t="s">
        <v>130</v>
      </c>
      <c r="C33" s="136"/>
      <c r="F33" s="136"/>
      <c r="G33" s="136"/>
      <c r="H33" s="136"/>
      <c r="I33" s="136"/>
      <c r="J33" s="136"/>
      <c r="K33" s="136"/>
      <c r="L33" s="136"/>
      <c r="M33" s="136"/>
      <c r="N33" s="136"/>
      <c r="O33" s="136"/>
      <c r="P33" s="136"/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</row>
    <row r="34" spans="1:34" ht="15" customHeight="1" x14ac:dyDescent="0.25">
      <c r="C34" s="13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36"/>
      <c r="AA34" s="136"/>
      <c r="AB34" s="136"/>
      <c r="AC34" s="136"/>
      <c r="AD34" s="136"/>
      <c r="AE34" s="136"/>
      <c r="AF34" s="136"/>
    </row>
    <row r="35" spans="1:34" ht="15" customHeight="1" x14ac:dyDescent="0.3">
      <c r="A35" s="4" t="s">
        <v>136</v>
      </c>
      <c r="C35" s="136"/>
      <c r="F35" s="136"/>
      <c r="G35" s="136"/>
      <c r="H35" s="136"/>
      <c r="I35" s="136"/>
      <c r="J35" s="136"/>
      <c r="K35" s="136"/>
      <c r="L35" s="136"/>
      <c r="M35" s="136"/>
      <c r="N35" s="136"/>
      <c r="O35" s="136"/>
      <c r="P35" s="136"/>
      <c r="Q35" s="136"/>
      <c r="R35" s="136"/>
      <c r="S35" s="136"/>
      <c r="T35" s="136"/>
      <c r="U35" s="136"/>
      <c r="V35" s="136"/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</row>
    <row r="36" spans="1:34" ht="15" customHeight="1" x14ac:dyDescent="0.25">
      <c r="A36" s="15" t="s">
        <v>74</v>
      </c>
      <c r="B36" s="9"/>
      <c r="C36" s="136"/>
      <c r="D36"/>
      <c r="F36" s="136"/>
      <c r="G36" s="136"/>
      <c r="H36" s="136"/>
      <c r="I36" s="136"/>
      <c r="J36" s="136"/>
      <c r="K36" s="136"/>
      <c r="L36" s="136"/>
      <c r="M36" s="136"/>
      <c r="N36" s="136"/>
      <c r="O36" s="136"/>
      <c r="P36" s="136"/>
      <c r="Q36" s="136"/>
      <c r="R36" s="136"/>
      <c r="S36" s="136"/>
      <c r="T36" s="136"/>
      <c r="U36" s="136"/>
      <c r="V36" s="136"/>
      <c r="W36" s="136"/>
      <c r="X36" s="136"/>
      <c r="Y36" s="136"/>
      <c r="Z36" s="136"/>
      <c r="AA36" s="136"/>
      <c r="AB36" s="136"/>
      <c r="AC36" s="136"/>
      <c r="AD36" s="136"/>
      <c r="AE36" s="136"/>
      <c r="AF36" s="136"/>
    </row>
    <row r="37" spans="1:34" ht="15" customHeight="1" x14ac:dyDescent="0.3">
      <c r="A37" s="107"/>
      <c r="B37" s="49" t="s">
        <v>92</v>
      </c>
      <c r="C37" s="135">
        <v>21.525099999999998</v>
      </c>
      <c r="D37" s="148" t="s">
        <v>242</v>
      </c>
      <c r="E37" s="126"/>
      <c r="F37" s="135">
        <v>27.9618</v>
      </c>
      <c r="G37" s="135">
        <v>12.5817</v>
      </c>
      <c r="H37" s="135">
        <v>31.646599999999996</v>
      </c>
      <c r="I37" s="135">
        <v>25.3947</v>
      </c>
      <c r="J37" s="135">
        <v>22.895800000000001</v>
      </c>
      <c r="K37" s="135">
        <v>50.6873</v>
      </c>
      <c r="L37" s="135">
        <v>16.972000000000001</v>
      </c>
      <c r="M37" s="135">
        <v>12.522</v>
      </c>
      <c r="N37" s="135">
        <v>21.525099999999998</v>
      </c>
      <c r="O37" s="135">
        <v>30.543899999999997</v>
      </c>
      <c r="P37" s="135">
        <v>51.554900000000004</v>
      </c>
      <c r="Q37" s="135">
        <v>23.2347</v>
      </c>
      <c r="R37" s="135">
        <v>21.271600000000003</v>
      </c>
      <c r="S37" s="135">
        <v>194.364</v>
      </c>
      <c r="T37" s="135">
        <v>32.936900000000001</v>
      </c>
      <c r="U37" s="135">
        <v>13.938799999999999</v>
      </c>
      <c r="V37" s="135">
        <v>20.787400000000002</v>
      </c>
      <c r="W37" s="135">
        <v>47.744700000000002</v>
      </c>
      <c r="X37" s="135">
        <v>44.662800000000004</v>
      </c>
      <c r="Y37" s="135">
        <v>21.6309</v>
      </c>
      <c r="Z37" s="135">
        <v>38.997700000000002</v>
      </c>
      <c r="AA37" s="135">
        <v>21.857499999999998</v>
      </c>
      <c r="AB37" s="135">
        <v>41.404000000000003</v>
      </c>
      <c r="AC37" s="135">
        <v>28.432400000000001</v>
      </c>
      <c r="AD37" s="135">
        <v>33.779700000000005</v>
      </c>
      <c r="AE37" s="135">
        <v>11.2408</v>
      </c>
      <c r="AF37" s="135">
        <v>39.6815</v>
      </c>
      <c r="AG37" s="100"/>
      <c r="AH37" s="100"/>
    </row>
    <row r="38" spans="1:34" ht="15" customHeight="1" x14ac:dyDescent="0.3">
      <c r="A38" s="107"/>
      <c r="B38" s="19" t="s">
        <v>91</v>
      </c>
      <c r="C38" s="135">
        <v>59.940199999999997</v>
      </c>
      <c r="D38" s="148"/>
      <c r="E38" s="126"/>
      <c r="F38" s="135">
        <v>58.362400000000001</v>
      </c>
      <c r="G38" s="135">
        <v>43.770700000000005</v>
      </c>
      <c r="H38" s="135">
        <v>57.365600000000001</v>
      </c>
      <c r="I38" s="135">
        <v>48.970700000000001</v>
      </c>
      <c r="J38" s="135">
        <v>35.678100000000001</v>
      </c>
      <c r="K38" s="135">
        <v>81.438200000000009</v>
      </c>
      <c r="L38" s="135">
        <v>48.212299999999999</v>
      </c>
      <c r="M38" s="135">
        <v>44.568000000000005</v>
      </c>
      <c r="N38" s="135">
        <v>59.940199999999997</v>
      </c>
      <c r="O38" s="135">
        <v>61.786700000000003</v>
      </c>
      <c r="P38" s="135">
        <v>85.210800000000006</v>
      </c>
      <c r="Q38" s="135">
        <v>66.198999999999998</v>
      </c>
      <c r="R38" s="135">
        <v>53.7074</v>
      </c>
      <c r="S38" s="135">
        <v>50.657000000000004</v>
      </c>
      <c r="T38" s="135">
        <v>70.807999999999993</v>
      </c>
      <c r="U38" s="135">
        <v>48.217199999999998</v>
      </c>
      <c r="V38" s="135">
        <v>62.501600000000003</v>
      </c>
      <c r="W38" s="135">
        <v>82.361599999999996</v>
      </c>
      <c r="X38" s="135">
        <v>63.214099999999995</v>
      </c>
      <c r="Y38" s="135">
        <v>62.091899999999995</v>
      </c>
      <c r="Z38" s="135">
        <v>69.879199999999997</v>
      </c>
      <c r="AA38" s="135">
        <v>34.395299999999999</v>
      </c>
      <c r="AB38" s="135">
        <v>81.261099999999999</v>
      </c>
      <c r="AC38" s="135">
        <v>76.424900000000008</v>
      </c>
      <c r="AD38" s="135">
        <v>81.156599999999997</v>
      </c>
      <c r="AE38" s="135">
        <v>28.0334</v>
      </c>
      <c r="AF38" s="135">
        <v>71.740600000000001</v>
      </c>
      <c r="AG38" s="100"/>
      <c r="AH38" s="100"/>
    </row>
    <row r="39" spans="1:34" ht="15" customHeight="1" x14ac:dyDescent="0.3">
      <c r="A39" s="107"/>
      <c r="B39" s="19" t="s">
        <v>90</v>
      </c>
      <c r="C39" s="135">
        <v>120.34350000000001</v>
      </c>
      <c r="D39" s="148"/>
      <c r="E39" s="126"/>
      <c r="F39" s="135">
        <v>104.2901</v>
      </c>
      <c r="G39" s="135">
        <v>79.171500000000009</v>
      </c>
      <c r="H39" s="135">
        <v>77.530600000000007</v>
      </c>
      <c r="I39" s="135">
        <v>78.497</v>
      </c>
      <c r="J39" s="135">
        <v>74.760599999999997</v>
      </c>
      <c r="K39" s="135">
        <v>123.3901</v>
      </c>
      <c r="L39" s="135">
        <v>118.6585</v>
      </c>
      <c r="M39" s="135">
        <v>123.5523</v>
      </c>
      <c r="N39" s="135">
        <v>120.34350000000001</v>
      </c>
      <c r="O39" s="135">
        <v>125.91730000000001</v>
      </c>
      <c r="P39" s="135">
        <v>161.39339999999999</v>
      </c>
      <c r="Q39" s="135">
        <v>119.1185</v>
      </c>
      <c r="R39" s="135">
        <v>107.8999</v>
      </c>
      <c r="S39" s="135">
        <v>120.38210000000001</v>
      </c>
      <c r="T39" s="135">
        <v>127.06700000000001</v>
      </c>
      <c r="U39" s="135">
        <v>136.43379999999999</v>
      </c>
      <c r="V39" s="135">
        <v>91.330500000000001</v>
      </c>
      <c r="W39" s="135">
        <v>142.893</v>
      </c>
      <c r="X39" s="135">
        <v>111.33199999999999</v>
      </c>
      <c r="Y39" s="135">
        <v>133.58539999999999</v>
      </c>
      <c r="Z39" s="135">
        <v>114.3614</v>
      </c>
      <c r="AA39" s="135">
        <v>45.456900000000005</v>
      </c>
      <c r="AB39" s="135">
        <v>134.7269</v>
      </c>
      <c r="AC39" s="135">
        <v>131.54930000000002</v>
      </c>
      <c r="AD39" s="135">
        <v>109.88420000000001</v>
      </c>
      <c r="AE39" s="135">
        <v>65.945100000000011</v>
      </c>
      <c r="AF39" s="135">
        <v>122.6448</v>
      </c>
      <c r="AG39" s="100"/>
      <c r="AH39" s="120"/>
    </row>
    <row r="40" spans="1:34" ht="15" customHeight="1" x14ac:dyDescent="0.35">
      <c r="B40" s="19" t="s">
        <v>263</v>
      </c>
      <c r="C40" s="133">
        <v>846</v>
      </c>
      <c r="D40" s="148"/>
      <c r="E40" s="126" t="s">
        <v>271</v>
      </c>
      <c r="F40" s="133">
        <v>846</v>
      </c>
      <c r="G40" s="133">
        <v>846</v>
      </c>
      <c r="H40" s="133">
        <v>846</v>
      </c>
      <c r="I40" s="133">
        <v>846</v>
      </c>
      <c r="J40" s="133">
        <v>846</v>
      </c>
      <c r="K40" s="133">
        <v>846</v>
      </c>
      <c r="L40" s="133">
        <v>846</v>
      </c>
      <c r="M40" s="133">
        <v>846</v>
      </c>
      <c r="N40" s="133">
        <v>846</v>
      </c>
      <c r="O40" s="133">
        <v>846</v>
      </c>
      <c r="P40" s="133">
        <v>846</v>
      </c>
      <c r="Q40" s="133">
        <v>846</v>
      </c>
      <c r="R40" s="133">
        <v>846</v>
      </c>
      <c r="S40" s="133">
        <v>846</v>
      </c>
      <c r="T40" s="133">
        <v>846</v>
      </c>
      <c r="U40" s="133">
        <v>846</v>
      </c>
      <c r="V40" s="133">
        <v>846</v>
      </c>
      <c r="W40" s="133">
        <v>846</v>
      </c>
      <c r="X40" s="133">
        <v>846</v>
      </c>
      <c r="Y40" s="133">
        <v>846</v>
      </c>
      <c r="Z40" s="133">
        <v>846</v>
      </c>
      <c r="AA40" s="133">
        <v>846</v>
      </c>
      <c r="AB40" s="133">
        <v>846</v>
      </c>
      <c r="AC40" s="133">
        <v>846</v>
      </c>
      <c r="AD40" s="133">
        <v>846</v>
      </c>
      <c r="AE40" s="133">
        <v>846</v>
      </c>
      <c r="AF40" s="133">
        <v>846</v>
      </c>
      <c r="AG40" s="98"/>
      <c r="AH40" s="121"/>
    </row>
    <row r="41" spans="1:34" ht="26.65" customHeight="1" x14ac:dyDescent="0.25">
      <c r="B41" s="19" t="s">
        <v>89</v>
      </c>
      <c r="C41" s="131">
        <v>0.13</v>
      </c>
      <c r="D41" s="105" t="s">
        <v>205</v>
      </c>
      <c r="E41" s="125" t="s">
        <v>280</v>
      </c>
      <c r="F41" s="131">
        <v>0.13</v>
      </c>
      <c r="G41" s="131">
        <v>0.13</v>
      </c>
      <c r="H41" s="131">
        <v>0.13</v>
      </c>
      <c r="I41" s="131">
        <v>0.13</v>
      </c>
      <c r="J41" s="131">
        <v>0.13</v>
      </c>
      <c r="K41" s="131">
        <v>0.13</v>
      </c>
      <c r="L41" s="131">
        <v>0.13</v>
      </c>
      <c r="M41" s="131">
        <v>0.13</v>
      </c>
      <c r="N41" s="131">
        <v>0.13</v>
      </c>
      <c r="O41" s="131">
        <v>0.13</v>
      </c>
      <c r="P41" s="131">
        <v>0.13</v>
      </c>
      <c r="Q41" s="131">
        <v>0.13</v>
      </c>
      <c r="R41" s="131">
        <v>0.13</v>
      </c>
      <c r="S41" s="131">
        <v>0.13</v>
      </c>
      <c r="T41" s="131">
        <v>0.13</v>
      </c>
      <c r="U41" s="131">
        <v>0.13</v>
      </c>
      <c r="V41" s="131">
        <v>0.13</v>
      </c>
      <c r="W41" s="131">
        <v>0.13</v>
      </c>
      <c r="X41" s="131">
        <v>0.13</v>
      </c>
      <c r="Y41" s="131">
        <v>0.13</v>
      </c>
      <c r="Z41" s="131">
        <v>0.13</v>
      </c>
      <c r="AA41" s="131">
        <v>0.13</v>
      </c>
      <c r="AB41" s="131">
        <v>0.13</v>
      </c>
      <c r="AC41" s="131">
        <v>0.13</v>
      </c>
      <c r="AD41" s="131">
        <v>0.13</v>
      </c>
      <c r="AE41" s="131">
        <v>0.13</v>
      </c>
      <c r="AF41" s="131">
        <v>0.13</v>
      </c>
      <c r="AG41" s="98"/>
      <c r="AH41" s="122"/>
    </row>
    <row r="42" spans="1:34" ht="15" customHeight="1" x14ac:dyDescent="0.25">
      <c r="B42" s="49" t="s">
        <v>93</v>
      </c>
      <c r="C42" s="135">
        <v>27.27</v>
      </c>
      <c r="D42" s="110" t="s">
        <v>266</v>
      </c>
      <c r="E42" s="126" t="s">
        <v>281</v>
      </c>
      <c r="F42" s="135">
        <v>27.27</v>
      </c>
      <c r="G42" s="135">
        <v>27.27</v>
      </c>
      <c r="H42" s="135">
        <v>27.27</v>
      </c>
      <c r="I42" s="135">
        <v>27.27</v>
      </c>
      <c r="J42" s="135">
        <v>27.27</v>
      </c>
      <c r="K42" s="135">
        <v>27.27</v>
      </c>
      <c r="L42" s="135">
        <v>27.27</v>
      </c>
      <c r="M42" s="135">
        <v>27.27</v>
      </c>
      <c r="N42" s="135">
        <v>27.27</v>
      </c>
      <c r="O42" s="135">
        <v>27.27</v>
      </c>
      <c r="P42" s="135">
        <v>27.27</v>
      </c>
      <c r="Q42" s="135">
        <v>27.27</v>
      </c>
      <c r="R42" s="135">
        <v>27.27</v>
      </c>
      <c r="S42" s="135">
        <v>27.27</v>
      </c>
      <c r="T42" s="135">
        <v>27.27</v>
      </c>
      <c r="U42" s="135">
        <v>27.27</v>
      </c>
      <c r="V42" s="135">
        <v>27.27</v>
      </c>
      <c r="W42" s="135">
        <v>27.27</v>
      </c>
      <c r="X42" s="135">
        <v>27.27</v>
      </c>
      <c r="Y42" s="135">
        <v>27.27</v>
      </c>
      <c r="Z42" s="135">
        <v>27.27</v>
      </c>
      <c r="AA42" s="135">
        <v>27.27</v>
      </c>
      <c r="AB42" s="135">
        <v>27.27</v>
      </c>
      <c r="AC42" s="135">
        <v>27.27</v>
      </c>
      <c r="AD42" s="135">
        <v>27.27</v>
      </c>
      <c r="AE42" s="135">
        <v>27.27</v>
      </c>
      <c r="AF42" s="135">
        <v>27.27</v>
      </c>
      <c r="AH42" s="123"/>
    </row>
    <row r="43" spans="1:34" ht="15.75" customHeight="1" x14ac:dyDescent="0.25">
      <c r="C43" s="136"/>
      <c r="D43" s="85"/>
      <c r="F43" s="136"/>
      <c r="G43" s="136"/>
      <c r="H43" s="136"/>
      <c r="I43" s="136"/>
      <c r="J43" s="136"/>
      <c r="K43" s="136"/>
      <c r="L43" s="136"/>
      <c r="M43" s="136"/>
      <c r="N43" s="136"/>
      <c r="O43" s="136"/>
      <c r="P43" s="136"/>
      <c r="Q43" s="136"/>
      <c r="R43" s="136"/>
      <c r="S43" s="136"/>
      <c r="T43" s="136"/>
      <c r="U43" s="136"/>
      <c r="V43" s="136"/>
      <c r="W43" s="136"/>
      <c r="X43" s="136"/>
      <c r="Y43" s="136"/>
      <c r="Z43" s="136"/>
      <c r="AA43" s="136"/>
      <c r="AB43" s="136"/>
      <c r="AC43" s="136"/>
      <c r="AD43" s="136"/>
      <c r="AE43" s="136"/>
      <c r="AF43" s="136"/>
      <c r="AH43" s="124"/>
    </row>
    <row r="44" spans="1:34" ht="15.75" customHeight="1" x14ac:dyDescent="0.25">
      <c r="A44" s="15" t="s">
        <v>134</v>
      </c>
      <c r="C44" s="136"/>
      <c r="D44"/>
      <c r="F44" s="136"/>
      <c r="G44" s="136"/>
      <c r="H44" s="136"/>
      <c r="I44" s="136"/>
      <c r="J44" s="136"/>
      <c r="K44" s="136"/>
      <c r="L44" s="136"/>
      <c r="M44" s="136"/>
      <c r="N44" s="136"/>
      <c r="O44" s="136"/>
      <c r="P44" s="136"/>
      <c r="Q44" s="136"/>
      <c r="R44" s="136"/>
      <c r="S44" s="136"/>
      <c r="T44" s="136"/>
      <c r="U44" s="136"/>
      <c r="V44" s="136"/>
      <c r="W44" s="136"/>
      <c r="X44" s="136"/>
      <c r="Y44" s="136"/>
      <c r="Z44" s="136"/>
      <c r="AA44" s="136"/>
      <c r="AB44" s="136"/>
      <c r="AC44" s="136"/>
      <c r="AD44" s="136"/>
      <c r="AE44" s="136"/>
      <c r="AF44" s="136"/>
    </row>
    <row r="45" spans="1:34" ht="15.75" customHeight="1" x14ac:dyDescent="0.25">
      <c r="B45" s="19" t="s">
        <v>9</v>
      </c>
      <c r="C45" s="131">
        <v>1.9099999999999999E-2</v>
      </c>
      <c r="D45" s="149" t="s">
        <v>267</v>
      </c>
      <c r="E45" s="146" t="s">
        <v>282</v>
      </c>
      <c r="F45" s="131">
        <v>1.9099999999999999E-2</v>
      </c>
      <c r="G45" s="131">
        <v>1.9099999999999999E-2</v>
      </c>
      <c r="H45" s="131">
        <v>1.9099999999999999E-2</v>
      </c>
      <c r="I45" s="131">
        <v>1.9099999999999999E-2</v>
      </c>
      <c r="J45" s="131">
        <v>1.9099999999999999E-2</v>
      </c>
      <c r="K45" s="131">
        <v>1.9099999999999999E-2</v>
      </c>
      <c r="L45" s="131">
        <v>1.9099999999999999E-2</v>
      </c>
      <c r="M45" s="131">
        <v>1.9099999999999999E-2</v>
      </c>
      <c r="N45" s="131">
        <v>1.9099999999999999E-2</v>
      </c>
      <c r="O45" s="131">
        <v>1.9099999999999999E-2</v>
      </c>
      <c r="P45" s="131">
        <v>1.9099999999999999E-2</v>
      </c>
      <c r="Q45" s="131">
        <v>1.9099999999999999E-2</v>
      </c>
      <c r="R45" s="131">
        <v>1.9099999999999999E-2</v>
      </c>
      <c r="S45" s="131">
        <v>1.9099999999999999E-2</v>
      </c>
      <c r="T45" s="131">
        <v>1.9099999999999999E-2</v>
      </c>
      <c r="U45" s="131">
        <v>1.9099999999999999E-2</v>
      </c>
      <c r="V45" s="131">
        <v>1.9099999999999999E-2</v>
      </c>
      <c r="W45" s="131">
        <v>1.9099999999999999E-2</v>
      </c>
      <c r="X45" s="131">
        <v>1.9099999999999999E-2</v>
      </c>
      <c r="Y45" s="131">
        <v>1.9099999999999999E-2</v>
      </c>
      <c r="Z45" s="131">
        <v>1.9099999999999999E-2</v>
      </c>
      <c r="AA45" s="131">
        <v>1.9099999999999999E-2</v>
      </c>
      <c r="AB45" s="131">
        <v>1.9099999999999999E-2</v>
      </c>
      <c r="AC45" s="131">
        <v>1.9099999999999999E-2</v>
      </c>
      <c r="AD45" s="131">
        <v>1.9099999999999999E-2</v>
      </c>
      <c r="AE45" s="131">
        <v>1.9099999999999999E-2</v>
      </c>
      <c r="AF45" s="131">
        <v>1.9099999999999999E-2</v>
      </c>
    </row>
    <row r="46" spans="1:34" ht="15.75" customHeight="1" x14ac:dyDescent="0.25">
      <c r="B46" s="19" t="s">
        <v>11</v>
      </c>
      <c r="C46" s="131">
        <v>9.98E-2</v>
      </c>
      <c r="D46" s="149"/>
      <c r="E46" s="146"/>
      <c r="F46" s="131">
        <v>9.98E-2</v>
      </c>
      <c r="G46" s="131">
        <v>9.98E-2</v>
      </c>
      <c r="H46" s="131">
        <v>9.98E-2</v>
      </c>
      <c r="I46" s="131">
        <v>9.98E-2</v>
      </c>
      <c r="J46" s="131">
        <v>9.98E-2</v>
      </c>
      <c r="K46" s="131">
        <v>9.98E-2</v>
      </c>
      <c r="L46" s="131">
        <v>9.98E-2</v>
      </c>
      <c r="M46" s="131">
        <v>9.98E-2</v>
      </c>
      <c r="N46" s="131">
        <v>9.98E-2</v>
      </c>
      <c r="O46" s="131">
        <v>9.98E-2</v>
      </c>
      <c r="P46" s="131">
        <v>9.98E-2</v>
      </c>
      <c r="Q46" s="131">
        <v>9.98E-2</v>
      </c>
      <c r="R46" s="131">
        <v>9.98E-2</v>
      </c>
      <c r="S46" s="131">
        <v>9.98E-2</v>
      </c>
      <c r="T46" s="131">
        <v>9.98E-2</v>
      </c>
      <c r="U46" s="131">
        <v>9.98E-2</v>
      </c>
      <c r="V46" s="131">
        <v>9.98E-2</v>
      </c>
      <c r="W46" s="131">
        <v>9.98E-2</v>
      </c>
      <c r="X46" s="131">
        <v>9.98E-2</v>
      </c>
      <c r="Y46" s="131">
        <v>9.98E-2</v>
      </c>
      <c r="Z46" s="131">
        <v>9.98E-2</v>
      </c>
      <c r="AA46" s="131">
        <v>9.98E-2</v>
      </c>
      <c r="AB46" s="131">
        <v>9.98E-2</v>
      </c>
      <c r="AC46" s="131">
        <v>9.98E-2</v>
      </c>
      <c r="AD46" s="131">
        <v>9.98E-2</v>
      </c>
      <c r="AE46" s="131">
        <v>9.98E-2</v>
      </c>
      <c r="AF46" s="131">
        <v>9.98E-2</v>
      </c>
    </row>
    <row r="47" spans="1:34" ht="15.75" customHeight="1" x14ac:dyDescent="0.25">
      <c r="B47" s="19" t="s">
        <v>12</v>
      </c>
      <c r="C47" s="131">
        <v>0.2</v>
      </c>
      <c r="D47" s="149"/>
      <c r="E47" s="146"/>
      <c r="F47" s="131">
        <v>0.2</v>
      </c>
      <c r="G47" s="131">
        <v>0.2</v>
      </c>
      <c r="H47" s="131">
        <v>0.2</v>
      </c>
      <c r="I47" s="131">
        <v>0.2</v>
      </c>
      <c r="J47" s="131">
        <v>0.2</v>
      </c>
      <c r="K47" s="131">
        <v>0.2</v>
      </c>
      <c r="L47" s="131">
        <v>0.2</v>
      </c>
      <c r="M47" s="131">
        <v>0.2</v>
      </c>
      <c r="N47" s="131">
        <v>0.2</v>
      </c>
      <c r="O47" s="131">
        <v>0.2</v>
      </c>
      <c r="P47" s="131">
        <v>0.2</v>
      </c>
      <c r="Q47" s="131">
        <v>0.2</v>
      </c>
      <c r="R47" s="131">
        <v>0.2</v>
      </c>
      <c r="S47" s="131">
        <v>0.2</v>
      </c>
      <c r="T47" s="131">
        <v>0.2</v>
      </c>
      <c r="U47" s="131">
        <v>0.2</v>
      </c>
      <c r="V47" s="131">
        <v>0.2</v>
      </c>
      <c r="W47" s="131">
        <v>0.2</v>
      </c>
      <c r="X47" s="131">
        <v>0.2</v>
      </c>
      <c r="Y47" s="131">
        <v>0.2</v>
      </c>
      <c r="Z47" s="131">
        <v>0.2</v>
      </c>
      <c r="AA47" s="131">
        <v>0.2</v>
      </c>
      <c r="AB47" s="131">
        <v>0.2</v>
      </c>
      <c r="AC47" s="131">
        <v>0.2</v>
      </c>
      <c r="AD47" s="131">
        <v>0.2</v>
      </c>
      <c r="AE47" s="131">
        <v>0.2</v>
      </c>
      <c r="AF47" s="131">
        <v>0.2</v>
      </c>
    </row>
    <row r="48" spans="1:34" ht="15" customHeight="1" x14ac:dyDescent="0.25">
      <c r="B48" s="19" t="s">
        <v>26</v>
      </c>
      <c r="C48" s="127"/>
      <c r="D48" s="85"/>
      <c r="E48" s="20"/>
      <c r="F48" s="127"/>
      <c r="G48" s="127"/>
      <c r="H48" s="127"/>
      <c r="I48" s="127"/>
      <c r="J48" s="127"/>
      <c r="K48" s="127"/>
      <c r="L48" s="127"/>
      <c r="M48" s="127"/>
      <c r="N48" s="127"/>
      <c r="O48" s="127"/>
      <c r="P48" s="127"/>
      <c r="Q48" s="127"/>
      <c r="R48" s="127"/>
      <c r="S48" s="127"/>
      <c r="T48" s="127"/>
      <c r="U48" s="127"/>
      <c r="V48" s="127"/>
      <c r="W48" s="127"/>
      <c r="X48" s="127"/>
      <c r="Y48" s="127"/>
      <c r="Z48" s="127"/>
      <c r="AA48" s="127"/>
      <c r="AB48" s="127"/>
      <c r="AC48" s="127"/>
      <c r="AD48" s="127"/>
      <c r="AE48" s="127"/>
      <c r="AF48" s="127"/>
    </row>
    <row r="49" spans="1:34" ht="15.75" customHeight="1" x14ac:dyDescent="0.25">
      <c r="D49" s="85"/>
    </row>
    <row r="50" spans="1:34" ht="15.75" customHeight="1" x14ac:dyDescent="0.25">
      <c r="A50" s="15" t="s">
        <v>72</v>
      </c>
      <c r="D50"/>
    </row>
    <row r="51" spans="1:34" ht="15.75" customHeight="1" x14ac:dyDescent="0.25">
      <c r="B51" s="19" t="s">
        <v>125</v>
      </c>
      <c r="C51" s="7">
        <v>3.3</v>
      </c>
      <c r="D51" s="149" t="s">
        <v>268</v>
      </c>
      <c r="E51" s="146" t="s">
        <v>283</v>
      </c>
      <c r="F51" s="7">
        <v>3.3</v>
      </c>
      <c r="G51" s="7">
        <v>3.3</v>
      </c>
      <c r="H51" s="7">
        <v>3.3</v>
      </c>
      <c r="I51" s="7">
        <v>3.3</v>
      </c>
      <c r="J51" s="7">
        <v>3.3</v>
      </c>
      <c r="K51" s="7">
        <v>3.3</v>
      </c>
      <c r="L51" s="7">
        <v>3.3</v>
      </c>
      <c r="M51" s="7">
        <v>3.3</v>
      </c>
      <c r="N51" s="7">
        <v>3.3</v>
      </c>
      <c r="O51" s="7">
        <v>3.3</v>
      </c>
      <c r="P51" s="7">
        <v>3.3</v>
      </c>
      <c r="Q51" s="7">
        <v>3.3</v>
      </c>
      <c r="R51" s="7">
        <v>3.3</v>
      </c>
      <c r="S51" s="7">
        <v>3.3</v>
      </c>
      <c r="T51" s="7">
        <v>3.3</v>
      </c>
      <c r="U51" s="7">
        <v>3.3</v>
      </c>
      <c r="V51" s="7">
        <v>3.3</v>
      </c>
      <c r="W51" s="7">
        <v>3.3</v>
      </c>
      <c r="X51" s="7">
        <v>3.3</v>
      </c>
      <c r="Y51" s="7">
        <v>3.3</v>
      </c>
      <c r="Z51" s="7">
        <v>3.3</v>
      </c>
      <c r="AA51" s="7">
        <v>3.3</v>
      </c>
      <c r="AB51" s="7">
        <v>3.3</v>
      </c>
      <c r="AC51" s="7">
        <v>3.3</v>
      </c>
      <c r="AD51" s="7">
        <v>3.3</v>
      </c>
      <c r="AE51" s="7">
        <v>3.3</v>
      </c>
      <c r="AF51" s="7">
        <v>3.3</v>
      </c>
    </row>
    <row r="52" spans="1:34" ht="15" customHeight="1" x14ac:dyDescent="0.25">
      <c r="B52" s="19" t="s">
        <v>126</v>
      </c>
      <c r="C52" s="7">
        <v>3.3</v>
      </c>
      <c r="D52" s="149"/>
      <c r="E52" s="146"/>
      <c r="F52" s="7">
        <v>3.3</v>
      </c>
      <c r="G52" s="7">
        <v>3.3</v>
      </c>
      <c r="H52" s="7">
        <v>3.3</v>
      </c>
      <c r="I52" s="7">
        <v>3.3</v>
      </c>
      <c r="J52" s="7">
        <v>3.3</v>
      </c>
      <c r="K52" s="7">
        <v>3.3</v>
      </c>
      <c r="L52" s="7">
        <v>3.3</v>
      </c>
      <c r="M52" s="7">
        <v>3.3</v>
      </c>
      <c r="N52" s="7">
        <v>3.3</v>
      </c>
      <c r="O52" s="7">
        <v>3.3</v>
      </c>
      <c r="P52" s="7">
        <v>3.3</v>
      </c>
      <c r="Q52" s="7">
        <v>3.3</v>
      </c>
      <c r="R52" s="7">
        <v>3.3</v>
      </c>
      <c r="S52" s="7">
        <v>3.3</v>
      </c>
      <c r="T52" s="7">
        <v>3.3</v>
      </c>
      <c r="U52" s="7">
        <v>3.3</v>
      </c>
      <c r="V52" s="7">
        <v>3.3</v>
      </c>
      <c r="W52" s="7">
        <v>3.3</v>
      </c>
      <c r="X52" s="7">
        <v>3.3</v>
      </c>
      <c r="Y52" s="7">
        <v>3.3</v>
      </c>
      <c r="Z52" s="7">
        <v>3.3</v>
      </c>
      <c r="AA52" s="7">
        <v>3.3</v>
      </c>
      <c r="AB52" s="7">
        <v>3.3</v>
      </c>
      <c r="AC52" s="7">
        <v>3.3</v>
      </c>
      <c r="AD52" s="7">
        <v>3.3</v>
      </c>
      <c r="AE52" s="7">
        <v>3.3</v>
      </c>
      <c r="AF52" s="7">
        <v>3.3</v>
      </c>
    </row>
    <row r="53" spans="1:34" ht="15.75" customHeight="1" x14ac:dyDescent="0.25">
      <c r="B53" s="19" t="s">
        <v>127</v>
      </c>
      <c r="C53" s="7">
        <v>3.3</v>
      </c>
      <c r="D53" s="149"/>
      <c r="E53" s="146"/>
      <c r="F53" s="7">
        <v>3.3</v>
      </c>
      <c r="G53" s="7">
        <v>3.3</v>
      </c>
      <c r="H53" s="7">
        <v>3.3</v>
      </c>
      <c r="I53" s="7">
        <v>3.3</v>
      </c>
      <c r="J53" s="7">
        <v>3.3</v>
      </c>
      <c r="K53" s="7">
        <v>3.3</v>
      </c>
      <c r="L53" s="7">
        <v>3.3</v>
      </c>
      <c r="M53" s="7">
        <v>3.3</v>
      </c>
      <c r="N53" s="7">
        <v>3.3</v>
      </c>
      <c r="O53" s="7">
        <v>3.3</v>
      </c>
      <c r="P53" s="7">
        <v>3.3</v>
      </c>
      <c r="Q53" s="7">
        <v>3.3</v>
      </c>
      <c r="R53" s="7">
        <v>3.3</v>
      </c>
      <c r="S53" s="7">
        <v>3.3</v>
      </c>
      <c r="T53" s="7">
        <v>3.3</v>
      </c>
      <c r="U53" s="7">
        <v>3.3</v>
      </c>
      <c r="V53" s="7">
        <v>3.3</v>
      </c>
      <c r="W53" s="7">
        <v>3.3</v>
      </c>
      <c r="X53" s="7">
        <v>3.3</v>
      </c>
      <c r="Y53" s="7">
        <v>3.3</v>
      </c>
      <c r="Z53" s="7">
        <v>3.3</v>
      </c>
      <c r="AA53" s="7">
        <v>3.3</v>
      </c>
      <c r="AB53" s="7">
        <v>3.3</v>
      </c>
      <c r="AC53" s="7">
        <v>3.3</v>
      </c>
      <c r="AD53" s="7">
        <v>3.3</v>
      </c>
      <c r="AE53" s="7">
        <v>3.3</v>
      </c>
      <c r="AF53" s="7">
        <v>3.3</v>
      </c>
    </row>
    <row r="54" spans="1:34" ht="15.75" customHeight="1" x14ac:dyDescent="0.25">
      <c r="B54" s="19" t="s">
        <v>128</v>
      </c>
      <c r="C54" s="7">
        <v>3.3</v>
      </c>
      <c r="D54" s="149"/>
      <c r="E54" s="146"/>
      <c r="F54" s="7">
        <v>3.3</v>
      </c>
      <c r="G54" s="7">
        <v>3.3</v>
      </c>
      <c r="H54" s="7">
        <v>3.3</v>
      </c>
      <c r="I54" s="7">
        <v>3.3</v>
      </c>
      <c r="J54" s="7">
        <v>3.3</v>
      </c>
      <c r="K54" s="7">
        <v>3.3</v>
      </c>
      <c r="L54" s="7">
        <v>3.3</v>
      </c>
      <c r="M54" s="7">
        <v>3.3</v>
      </c>
      <c r="N54" s="7">
        <v>3.3</v>
      </c>
      <c r="O54" s="7">
        <v>3.3</v>
      </c>
      <c r="P54" s="7">
        <v>3.3</v>
      </c>
      <c r="Q54" s="7">
        <v>3.3</v>
      </c>
      <c r="R54" s="7">
        <v>3.3</v>
      </c>
      <c r="S54" s="7">
        <v>3.3</v>
      </c>
      <c r="T54" s="7">
        <v>3.3</v>
      </c>
      <c r="U54" s="7">
        <v>3.3</v>
      </c>
      <c r="V54" s="7">
        <v>3.3</v>
      </c>
      <c r="W54" s="7">
        <v>3.3</v>
      </c>
      <c r="X54" s="7">
        <v>3.3</v>
      </c>
      <c r="Y54" s="7">
        <v>3.3</v>
      </c>
      <c r="Z54" s="7">
        <v>3.3</v>
      </c>
      <c r="AA54" s="7">
        <v>3.3</v>
      </c>
      <c r="AB54" s="7">
        <v>3.3</v>
      </c>
      <c r="AC54" s="7">
        <v>3.3</v>
      </c>
      <c r="AD54" s="7">
        <v>3.3</v>
      </c>
      <c r="AE54" s="7">
        <v>3.3</v>
      </c>
      <c r="AF54" s="7">
        <v>3.3</v>
      </c>
    </row>
    <row r="55" spans="1:34" ht="15.75" customHeight="1" x14ac:dyDescent="0.25">
      <c r="B55" s="19" t="s">
        <v>129</v>
      </c>
      <c r="C55" s="7">
        <v>3.3</v>
      </c>
      <c r="D55" s="149"/>
      <c r="E55" s="146"/>
      <c r="F55" s="7">
        <v>3.3</v>
      </c>
      <c r="G55" s="7">
        <v>3.3</v>
      </c>
      <c r="H55" s="7">
        <v>3.3</v>
      </c>
      <c r="I55" s="7">
        <v>3.3</v>
      </c>
      <c r="J55" s="7">
        <v>3.3</v>
      </c>
      <c r="K55" s="7">
        <v>3.3</v>
      </c>
      <c r="L55" s="7">
        <v>3.3</v>
      </c>
      <c r="M55" s="7">
        <v>3.3</v>
      </c>
      <c r="N55" s="7">
        <v>3.3</v>
      </c>
      <c r="O55" s="7">
        <v>3.3</v>
      </c>
      <c r="P55" s="7">
        <v>3.3</v>
      </c>
      <c r="Q55" s="7">
        <v>3.3</v>
      </c>
      <c r="R55" s="7">
        <v>3.3</v>
      </c>
      <c r="S55" s="7">
        <v>3.3</v>
      </c>
      <c r="T55" s="7">
        <v>3.3</v>
      </c>
      <c r="U55" s="7">
        <v>3.3</v>
      </c>
      <c r="V55" s="7">
        <v>3.3</v>
      </c>
      <c r="W55" s="7">
        <v>3.3</v>
      </c>
      <c r="X55" s="7">
        <v>3.3</v>
      </c>
      <c r="Y55" s="7">
        <v>3.3</v>
      </c>
      <c r="Z55" s="7">
        <v>3.3</v>
      </c>
      <c r="AA55" s="7">
        <v>3.3</v>
      </c>
      <c r="AB55" s="7">
        <v>3.3</v>
      </c>
      <c r="AC55" s="7">
        <v>3.3</v>
      </c>
      <c r="AD55" s="7">
        <v>3.3</v>
      </c>
      <c r="AE55" s="7">
        <v>3.3</v>
      </c>
      <c r="AF55" s="7">
        <v>3.3</v>
      </c>
    </row>
    <row r="57" spans="1:34" ht="15.75" customHeight="1" x14ac:dyDescent="0.25">
      <c r="A57" s="15" t="s">
        <v>135</v>
      </c>
      <c r="D57"/>
    </row>
    <row r="58" spans="1:34" ht="15.75" customHeight="1" x14ac:dyDescent="0.35">
      <c r="B58" s="9" t="s">
        <v>111</v>
      </c>
      <c r="C58" s="130">
        <v>0.2056</v>
      </c>
      <c r="D58" s="109" t="s">
        <v>242</v>
      </c>
      <c r="E58" s="129" t="s">
        <v>244</v>
      </c>
      <c r="F58" s="130">
        <v>0.18240000000000001</v>
      </c>
      <c r="G58" s="130">
        <v>0.12509999999999999</v>
      </c>
      <c r="H58" s="130">
        <v>0.14269999999999999</v>
      </c>
      <c r="I58" s="130">
        <v>0.1895</v>
      </c>
      <c r="J58" s="130">
        <v>0.10390000000000001</v>
      </c>
      <c r="K58" s="130">
        <v>6.8000000000000005E-2</v>
      </c>
      <c r="L58" s="130">
        <v>0.34739999999999999</v>
      </c>
      <c r="M58" s="130">
        <v>0.34599999999999997</v>
      </c>
      <c r="N58" s="130">
        <v>0.2056</v>
      </c>
      <c r="O58" s="130">
        <v>0.27060000000000001</v>
      </c>
      <c r="P58" s="130">
        <v>0.31230000000000002</v>
      </c>
      <c r="Q58" s="130">
        <v>0.1651</v>
      </c>
      <c r="R58" s="130">
        <v>0.16139999999999999</v>
      </c>
      <c r="S58" s="130">
        <v>9.4100000000000003E-2</v>
      </c>
      <c r="T58" s="130">
        <v>0.2</v>
      </c>
      <c r="U58" s="130">
        <v>0.1663</v>
      </c>
      <c r="V58" s="130">
        <v>0.1482</v>
      </c>
      <c r="W58" s="130">
        <v>0.1278</v>
      </c>
      <c r="X58" s="130">
        <v>0.1903</v>
      </c>
      <c r="Y58" s="130">
        <v>0.33150000000000002</v>
      </c>
      <c r="Z58" s="130">
        <v>0.26519999999999999</v>
      </c>
      <c r="AA58" s="130">
        <v>0.218</v>
      </c>
      <c r="AB58" s="130">
        <v>0.30940000000000001</v>
      </c>
      <c r="AC58" s="130">
        <v>4.19E-2</v>
      </c>
      <c r="AD58" s="130">
        <v>0.1759</v>
      </c>
      <c r="AE58" s="130">
        <v>0.23499999999999999</v>
      </c>
      <c r="AF58" s="130">
        <v>0.16769999999999999</v>
      </c>
      <c r="AG58" s="98"/>
      <c r="AH58" s="99"/>
    </row>
    <row r="59" spans="1:34" ht="65.650000000000006" customHeight="1" x14ac:dyDescent="0.25">
      <c r="B59" s="19" t="s">
        <v>133</v>
      </c>
      <c r="C59" s="138">
        <v>0.43519999999999998</v>
      </c>
      <c r="D59" s="105" t="s">
        <v>269</v>
      </c>
      <c r="E59" s="128" t="s">
        <v>270</v>
      </c>
      <c r="F59" s="138">
        <v>0.43519999999999998</v>
      </c>
      <c r="G59" s="138">
        <v>0.43519999999999998</v>
      </c>
      <c r="H59" s="138">
        <v>0.43519999999999998</v>
      </c>
      <c r="I59" s="138">
        <v>0.43519999999999998</v>
      </c>
      <c r="J59" s="138">
        <v>0.43519999999999998</v>
      </c>
      <c r="K59" s="138">
        <v>0.43519999999999998</v>
      </c>
      <c r="L59" s="138">
        <v>0.43519999999999998</v>
      </c>
      <c r="M59" s="138">
        <v>0.43519999999999998</v>
      </c>
      <c r="N59" s="138">
        <v>0.43519999999999998</v>
      </c>
      <c r="O59" s="138">
        <v>0.43519999999999998</v>
      </c>
      <c r="P59" s="138">
        <v>0.43519999999999998</v>
      </c>
      <c r="Q59" s="138">
        <v>0.43519999999999998</v>
      </c>
      <c r="R59" s="138">
        <v>0.43519999999999998</v>
      </c>
      <c r="S59" s="138">
        <v>0.43519999999999998</v>
      </c>
      <c r="T59" s="138">
        <v>0.43519999999999998</v>
      </c>
      <c r="U59" s="138">
        <v>0.43519999999999998</v>
      </c>
      <c r="V59" s="138">
        <v>0.43519999999999998</v>
      </c>
      <c r="W59" s="138">
        <v>0.43519999999999998</v>
      </c>
      <c r="X59" s="138">
        <v>0.43519999999999998</v>
      </c>
      <c r="Y59" s="138">
        <v>0.43519999999999998</v>
      </c>
      <c r="Z59" s="138">
        <v>0.43519999999999998</v>
      </c>
      <c r="AA59" s="138">
        <v>0.43519999999999998</v>
      </c>
      <c r="AB59" s="138">
        <v>0.43519999999999998</v>
      </c>
      <c r="AC59" s="138">
        <v>0.43519999999999998</v>
      </c>
      <c r="AD59" s="138">
        <v>0.43519999999999998</v>
      </c>
      <c r="AE59" s="138">
        <v>0.43519999999999998</v>
      </c>
      <c r="AF59" s="138">
        <v>0.43519999999999998</v>
      </c>
    </row>
    <row r="60" spans="1:34" ht="15.75" customHeight="1" x14ac:dyDescent="0.25">
      <c r="C60" s="106"/>
      <c r="F60" s="106"/>
      <c r="G60" s="106"/>
      <c r="H60" s="10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6"/>
      <c r="X60" s="106"/>
      <c r="Y60" s="106"/>
      <c r="Z60" s="106"/>
      <c r="AA60" s="106"/>
      <c r="AB60" s="106"/>
      <c r="AC60" s="106"/>
      <c r="AD60" s="106"/>
      <c r="AE60" s="106"/>
      <c r="AF60" s="106"/>
    </row>
    <row r="61" spans="1:34" ht="15.75" customHeight="1" x14ac:dyDescent="0.3">
      <c r="A61" s="101" t="s">
        <v>245</v>
      </c>
      <c r="C61" s="97"/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7"/>
      <c r="T61" s="97"/>
      <c r="U61" s="97"/>
      <c r="V61" s="97"/>
      <c r="W61" s="97"/>
      <c r="X61" s="97"/>
      <c r="Y61" s="97"/>
      <c r="Z61" s="97"/>
      <c r="AA61" s="97"/>
      <c r="AB61" s="97"/>
      <c r="AC61" s="97"/>
      <c r="AD61" s="97"/>
      <c r="AE61" s="97"/>
      <c r="AF61" s="97"/>
      <c r="AG61" s="98"/>
    </row>
    <row r="62" spans="1:34" ht="15.75" customHeight="1" x14ac:dyDescent="0.3">
      <c r="A62" s="107"/>
      <c r="B62" s="29" t="s">
        <v>246</v>
      </c>
      <c r="C62" s="130">
        <v>0.18</v>
      </c>
      <c r="D62" s="109" t="s">
        <v>242</v>
      </c>
      <c r="E62" s="113"/>
      <c r="F62" s="130">
        <v>0.16800000000000001</v>
      </c>
      <c r="G62" s="130">
        <v>0.188</v>
      </c>
      <c r="H62" s="130">
        <v>0.14499999999999999</v>
      </c>
      <c r="I62" s="130">
        <v>0.13400000000000001</v>
      </c>
      <c r="J62" s="130">
        <v>0.12</v>
      </c>
      <c r="K62" s="130">
        <v>0.124</v>
      </c>
      <c r="L62" s="130">
        <v>0.14300000000000002</v>
      </c>
      <c r="M62" s="130">
        <v>0.12</v>
      </c>
      <c r="N62" s="130">
        <v>0.18</v>
      </c>
      <c r="O62" s="130">
        <v>0.17600000000000002</v>
      </c>
      <c r="P62" s="130">
        <v>0.17800000000000002</v>
      </c>
      <c r="Q62" s="130">
        <v>0.247</v>
      </c>
      <c r="R62" s="130">
        <v>0.23600000000000002</v>
      </c>
      <c r="S62" s="130">
        <v>0.19399999999999998</v>
      </c>
      <c r="T62" s="130">
        <v>0.20499999999999999</v>
      </c>
      <c r="U62" s="130">
        <v>0.192</v>
      </c>
      <c r="V62" s="130">
        <v>0.16500000000000001</v>
      </c>
      <c r="W62" s="130">
        <v>0.254</v>
      </c>
      <c r="X62" s="130">
        <v>0.21199999999999999</v>
      </c>
      <c r="Y62" s="130">
        <v>0.157</v>
      </c>
      <c r="Z62" s="130">
        <v>9.1999999999999998E-2</v>
      </c>
      <c r="AA62" s="130">
        <v>0.13699999999999998</v>
      </c>
      <c r="AB62" s="130">
        <v>0.20699999999999999</v>
      </c>
      <c r="AC62" s="130">
        <v>0.218</v>
      </c>
      <c r="AD62" s="130">
        <v>9.6000000000000002E-2</v>
      </c>
      <c r="AE62" s="130">
        <v>5.2999999999999999E-2</v>
      </c>
      <c r="AF62" s="130">
        <v>0.21899999999999997</v>
      </c>
      <c r="AG62" s="98"/>
    </row>
    <row r="63" spans="1:34" ht="15.75" customHeight="1" x14ac:dyDescent="0.3">
      <c r="A63" s="107"/>
      <c r="B63" s="29" t="s">
        <v>247</v>
      </c>
      <c r="C63" s="130">
        <v>3.6000000000000004E-2</v>
      </c>
      <c r="D63" s="109" t="s">
        <v>242</v>
      </c>
      <c r="E63" s="113"/>
      <c r="F63" s="130">
        <v>0.03</v>
      </c>
      <c r="G63" s="130">
        <v>2.3E-2</v>
      </c>
      <c r="H63" s="130">
        <v>2.1000000000000001E-2</v>
      </c>
      <c r="I63" s="130">
        <v>2.5000000000000001E-2</v>
      </c>
      <c r="J63" s="130">
        <v>1.2E-2</v>
      </c>
      <c r="K63" s="130">
        <v>8.0000000000000002E-3</v>
      </c>
      <c r="L63" s="130">
        <v>0.05</v>
      </c>
      <c r="M63" s="130">
        <v>4.0999999999999995E-2</v>
      </c>
      <c r="N63" s="130">
        <v>3.6000000000000004E-2</v>
      </c>
      <c r="O63" s="130">
        <v>4.7E-2</v>
      </c>
      <c r="P63" s="130">
        <v>5.5E-2</v>
      </c>
      <c r="Q63" s="130">
        <v>3.7999999999999999E-2</v>
      </c>
      <c r="R63" s="130">
        <v>3.7999999999999999E-2</v>
      </c>
      <c r="S63" s="130">
        <v>1.8000000000000002E-2</v>
      </c>
      <c r="T63" s="130">
        <v>0.04</v>
      </c>
      <c r="U63" s="130">
        <v>3.1E-2</v>
      </c>
      <c r="V63" s="130">
        <v>2.4E-2</v>
      </c>
      <c r="W63" s="130">
        <v>3.2000000000000001E-2</v>
      </c>
      <c r="X63" s="130">
        <v>3.9E-2</v>
      </c>
      <c r="Y63" s="130">
        <v>4.8000000000000001E-2</v>
      </c>
      <c r="Z63" s="130">
        <v>2.4E-2</v>
      </c>
      <c r="AA63" s="130">
        <v>0.03</v>
      </c>
      <c r="AB63" s="130">
        <v>6.4000000000000001E-2</v>
      </c>
      <c r="AC63" s="130">
        <v>8.0000000000000002E-3</v>
      </c>
      <c r="AD63" s="130">
        <v>1.7000000000000001E-2</v>
      </c>
      <c r="AE63" s="130">
        <v>1.2E-2</v>
      </c>
      <c r="AF63" s="130">
        <v>3.6000000000000004E-2</v>
      </c>
      <c r="AG63" s="98"/>
    </row>
    <row r="64" spans="1:34" ht="15.75" customHeight="1" x14ac:dyDescent="0.3">
      <c r="A64" s="107"/>
      <c r="B64" s="102" t="s">
        <v>248</v>
      </c>
      <c r="C64" s="130">
        <v>0</v>
      </c>
      <c r="D64" s="109" t="s">
        <v>242</v>
      </c>
      <c r="E64" s="113"/>
      <c r="F64" s="130">
        <v>0</v>
      </c>
      <c r="G64" s="130">
        <v>0</v>
      </c>
      <c r="H64" s="130">
        <v>0</v>
      </c>
      <c r="I64" s="130">
        <v>0</v>
      </c>
      <c r="J64" s="130">
        <v>0</v>
      </c>
      <c r="K64" s="130">
        <v>0</v>
      </c>
      <c r="L64" s="130">
        <v>0</v>
      </c>
      <c r="M64" s="130">
        <v>0</v>
      </c>
      <c r="N64" s="130">
        <v>0</v>
      </c>
      <c r="O64" s="130">
        <v>0</v>
      </c>
      <c r="P64" s="130">
        <v>0</v>
      </c>
      <c r="Q64" s="130">
        <v>0</v>
      </c>
      <c r="R64" s="130">
        <v>0</v>
      </c>
      <c r="S64" s="130">
        <v>0</v>
      </c>
      <c r="T64" s="130">
        <v>0</v>
      </c>
      <c r="U64" s="130">
        <v>0</v>
      </c>
      <c r="V64" s="130">
        <v>0</v>
      </c>
      <c r="W64" s="130">
        <v>0</v>
      </c>
      <c r="X64" s="130">
        <v>0</v>
      </c>
      <c r="Y64" s="130">
        <v>0</v>
      </c>
      <c r="Z64" s="130">
        <v>0</v>
      </c>
      <c r="AA64" s="130">
        <v>0</v>
      </c>
      <c r="AB64" s="130">
        <v>0</v>
      </c>
      <c r="AC64" s="130">
        <v>0</v>
      </c>
      <c r="AD64" s="130">
        <v>0</v>
      </c>
      <c r="AE64" s="130">
        <v>0</v>
      </c>
      <c r="AF64" s="130">
        <v>0</v>
      </c>
      <c r="AG64" s="98"/>
    </row>
    <row r="65" spans="1:33" ht="15.75" customHeight="1" x14ac:dyDescent="0.3">
      <c r="A65" s="107"/>
      <c r="B65" s="102" t="s">
        <v>249</v>
      </c>
      <c r="C65" s="130">
        <v>0.1641</v>
      </c>
      <c r="D65" s="109" t="s">
        <v>242</v>
      </c>
      <c r="E65" s="113"/>
      <c r="F65" s="130">
        <v>0.1105</v>
      </c>
      <c r="G65" s="130">
        <v>6.1899999999999997E-2</v>
      </c>
      <c r="H65" s="130">
        <v>0.14610000000000001</v>
      </c>
      <c r="I65" s="130">
        <v>3.5400000000000001E-2</v>
      </c>
      <c r="J65" s="130">
        <v>8.2000000000000003E-2</v>
      </c>
      <c r="K65" s="130">
        <v>7.9600000000000004E-2</v>
      </c>
      <c r="L65" s="130">
        <v>1.6500000000000001E-2</v>
      </c>
      <c r="M65" s="130">
        <v>0.1134</v>
      </c>
      <c r="N65" s="130">
        <v>0.1641</v>
      </c>
      <c r="O65" s="130">
        <v>0.1103</v>
      </c>
      <c r="P65" s="130">
        <v>0.16389999999999999</v>
      </c>
      <c r="Q65" s="130">
        <v>0.19439999999999999</v>
      </c>
      <c r="R65" s="130">
        <v>0.123</v>
      </c>
      <c r="S65" s="130">
        <v>9.9400000000000002E-2</v>
      </c>
      <c r="T65" s="130">
        <v>8.1299999999999997E-2</v>
      </c>
      <c r="U65" s="130">
        <v>8.3900000000000002E-2</v>
      </c>
      <c r="V65" s="130">
        <v>0.1038</v>
      </c>
      <c r="W65" s="130">
        <v>9.9199999999999997E-2</v>
      </c>
      <c r="X65" s="130">
        <v>0.15190000000000001</v>
      </c>
      <c r="Y65" s="130">
        <v>0.1076</v>
      </c>
      <c r="Z65" s="130">
        <v>5.4800000000000001E-2</v>
      </c>
      <c r="AA65" s="130">
        <v>0.13689999999999999</v>
      </c>
      <c r="AB65" s="130">
        <v>3.9899999999999998E-2</v>
      </c>
      <c r="AC65" s="130">
        <v>0.15970000000000001</v>
      </c>
      <c r="AD65" s="130">
        <v>0</v>
      </c>
      <c r="AE65" s="130">
        <v>4.02E-2</v>
      </c>
      <c r="AF65" s="130">
        <v>0.22919999999999999</v>
      </c>
      <c r="AG65" s="98"/>
    </row>
    <row r="66" spans="1:33" ht="15.75" customHeight="1" x14ac:dyDescent="0.3">
      <c r="A66" s="107"/>
      <c r="B66" s="102" t="s">
        <v>250</v>
      </c>
      <c r="C66" s="130">
        <v>0.43190000000000001</v>
      </c>
      <c r="D66" s="109" t="s">
        <v>242</v>
      </c>
      <c r="E66" s="113"/>
      <c r="F66" s="130">
        <v>0.32550000000000001</v>
      </c>
      <c r="G66" s="130">
        <v>0.317</v>
      </c>
      <c r="H66" s="130">
        <v>0.38169999999999998</v>
      </c>
      <c r="I66" s="130">
        <v>0.31440000000000001</v>
      </c>
      <c r="J66" s="130">
        <v>0.20169999999999999</v>
      </c>
      <c r="K66" s="130">
        <v>0.20580000000000001</v>
      </c>
      <c r="L66" s="130">
        <v>0.25659999999999999</v>
      </c>
      <c r="M66" s="130">
        <v>0.29820000000000002</v>
      </c>
      <c r="N66" s="130">
        <v>0.43190000000000001</v>
      </c>
      <c r="O66" s="130">
        <v>0.32269999999999999</v>
      </c>
      <c r="P66" s="130">
        <v>0.37240000000000001</v>
      </c>
      <c r="Q66" s="130">
        <v>0.38100000000000001</v>
      </c>
      <c r="R66" s="130">
        <v>0.4748</v>
      </c>
      <c r="S66" s="130">
        <v>0.29849999999999999</v>
      </c>
      <c r="T66" s="130">
        <v>0.42959999999999998</v>
      </c>
      <c r="U66" s="130">
        <v>0.34649999999999997</v>
      </c>
      <c r="V66" s="130">
        <v>0.4168</v>
      </c>
      <c r="W66" s="130">
        <v>0.3851</v>
      </c>
      <c r="X66" s="130">
        <v>0.24490000000000001</v>
      </c>
      <c r="Y66" s="130">
        <v>0.28570000000000001</v>
      </c>
      <c r="Z66" s="130">
        <v>0.1633</v>
      </c>
      <c r="AA66" s="130">
        <v>0.24340000000000001</v>
      </c>
      <c r="AB66" s="130">
        <v>0.40339999999999998</v>
      </c>
      <c r="AC66" s="130">
        <v>0.26229999999999998</v>
      </c>
      <c r="AD66" s="130">
        <v>0.12770000000000001</v>
      </c>
      <c r="AE66" s="130">
        <v>6.6299999999999998E-2</v>
      </c>
      <c r="AF66" s="130">
        <v>0.49390000000000001</v>
      </c>
      <c r="AG66" s="98"/>
    </row>
    <row r="67" spans="1:33" ht="15.75" customHeight="1" x14ac:dyDescent="0.3">
      <c r="A67" s="107"/>
      <c r="B67" s="102" t="s">
        <v>251</v>
      </c>
      <c r="C67" s="130">
        <v>0.30109999999999998</v>
      </c>
      <c r="D67" s="109" t="s">
        <v>242</v>
      </c>
      <c r="E67" s="113"/>
      <c r="F67" s="130">
        <v>0.2828</v>
      </c>
      <c r="G67" s="130">
        <v>0.32569999999999999</v>
      </c>
      <c r="H67" s="130">
        <v>0.24690000000000001</v>
      </c>
      <c r="I67" s="130">
        <v>0.27579999999999999</v>
      </c>
      <c r="J67" s="130">
        <v>0.14940000000000001</v>
      </c>
      <c r="K67" s="130">
        <v>0.23</v>
      </c>
      <c r="L67" s="130">
        <v>0.29089999999999999</v>
      </c>
      <c r="M67" s="130">
        <v>0.16139999999999999</v>
      </c>
      <c r="N67" s="130">
        <v>0.30109999999999998</v>
      </c>
      <c r="O67" s="130">
        <v>0.25569999999999998</v>
      </c>
      <c r="P67" s="130">
        <v>0.24790000000000001</v>
      </c>
      <c r="Q67" s="130">
        <v>0.41760000000000003</v>
      </c>
      <c r="R67" s="130">
        <v>0.31280000000000002</v>
      </c>
      <c r="S67" s="130">
        <v>0.27039999999999997</v>
      </c>
      <c r="T67" s="130">
        <v>0.32669999999999999</v>
      </c>
      <c r="U67" s="130">
        <v>0.31709999999999999</v>
      </c>
      <c r="V67" s="130">
        <v>0.309</v>
      </c>
      <c r="W67" s="130">
        <v>0.46139999999999998</v>
      </c>
      <c r="X67" s="130">
        <v>0.45229999999999998</v>
      </c>
      <c r="Y67" s="130">
        <v>0.23519999999999999</v>
      </c>
      <c r="Z67" s="130">
        <v>0.21640000000000001</v>
      </c>
      <c r="AA67" s="130">
        <v>0.3095</v>
      </c>
      <c r="AB67" s="130">
        <v>0.36049999999999999</v>
      </c>
      <c r="AC67" s="130">
        <v>0.22470000000000001</v>
      </c>
      <c r="AD67" s="130">
        <v>0.2077</v>
      </c>
      <c r="AE67" s="130">
        <v>6.9400000000000003E-2</v>
      </c>
      <c r="AF67" s="130">
        <v>0.33279999999999998</v>
      </c>
      <c r="AG67" s="98"/>
    </row>
    <row r="68" spans="1:33" ht="15.75" customHeight="1" x14ac:dyDescent="0.3">
      <c r="A68" s="107"/>
      <c r="B68" s="102" t="s">
        <v>252</v>
      </c>
      <c r="C68" s="130">
        <v>0.1227</v>
      </c>
      <c r="D68" s="109" t="s">
        <v>242</v>
      </c>
      <c r="E68" s="113"/>
      <c r="F68" s="130">
        <v>0.11409999999999999</v>
      </c>
      <c r="G68" s="130">
        <v>0.14069999999999999</v>
      </c>
      <c r="H68" s="130">
        <v>7.9500000000000001E-2</v>
      </c>
      <c r="I68" s="130">
        <v>7.7299999999999994E-2</v>
      </c>
      <c r="J68" s="130">
        <v>9.2299999999999993E-2</v>
      </c>
      <c r="K68" s="130">
        <v>7.7899999999999997E-2</v>
      </c>
      <c r="L68" s="130">
        <v>7.5600000000000001E-2</v>
      </c>
      <c r="M68" s="130">
        <v>7.8299999999999995E-2</v>
      </c>
      <c r="N68" s="130">
        <v>0.1227</v>
      </c>
      <c r="O68" s="130">
        <v>0.1351</v>
      </c>
      <c r="P68" s="130">
        <v>0.1323</v>
      </c>
      <c r="Q68" s="130">
        <v>0.19650000000000001</v>
      </c>
      <c r="R68" s="130">
        <v>0.17810000000000001</v>
      </c>
      <c r="S68" s="130">
        <v>0.17879999999999999</v>
      </c>
      <c r="T68" s="130">
        <v>0.16209999999999999</v>
      </c>
      <c r="U68" s="130">
        <v>0.1452</v>
      </c>
      <c r="V68" s="130">
        <v>8.3799999999999999E-2</v>
      </c>
      <c r="W68" s="130">
        <v>0.17150000000000001</v>
      </c>
      <c r="X68" s="130">
        <v>0.14510000000000001</v>
      </c>
      <c r="Y68" s="130">
        <v>0.12520000000000001</v>
      </c>
      <c r="Z68" s="130">
        <v>4.9399999999999999E-2</v>
      </c>
      <c r="AA68" s="130">
        <v>6.59E-2</v>
      </c>
      <c r="AB68" s="130">
        <v>0.15179999999999999</v>
      </c>
      <c r="AC68" s="130">
        <v>0.21210000000000001</v>
      </c>
      <c r="AD68" s="130">
        <v>6.8599999999999994E-2</v>
      </c>
      <c r="AE68" s="130">
        <v>5.0099999999999999E-2</v>
      </c>
      <c r="AF68" s="130">
        <v>0.127</v>
      </c>
      <c r="AG68" s="98"/>
    </row>
    <row r="69" spans="1:33" ht="15.75" customHeight="1" x14ac:dyDescent="0.25">
      <c r="B69" s="102"/>
      <c r="C69" s="97"/>
      <c r="F69" s="97"/>
      <c r="G69" s="97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7"/>
      <c r="T69" s="97"/>
      <c r="U69" s="97"/>
      <c r="V69" s="97"/>
      <c r="W69" s="97"/>
      <c r="X69" s="97"/>
      <c r="Y69" s="97"/>
      <c r="Z69" s="97"/>
      <c r="AA69" s="97"/>
      <c r="AB69" s="97"/>
      <c r="AC69" s="97"/>
      <c r="AD69" s="97"/>
      <c r="AE69" s="97"/>
      <c r="AF69" s="97"/>
      <c r="AG69" s="98"/>
    </row>
    <row r="70" spans="1:33" ht="15.75" customHeight="1" x14ac:dyDescent="0.3">
      <c r="A70" s="107"/>
      <c r="B70" s="19" t="s">
        <v>255</v>
      </c>
      <c r="C70" s="130">
        <v>0.18</v>
      </c>
      <c r="D70" s="109" t="s">
        <v>242</v>
      </c>
      <c r="E70" s="113"/>
      <c r="F70" s="134">
        <v>0.16800000000000001</v>
      </c>
      <c r="G70" s="130">
        <v>0.188</v>
      </c>
      <c r="H70" s="130">
        <v>0.14499999999999999</v>
      </c>
      <c r="I70" s="130">
        <v>0.13400000000000001</v>
      </c>
      <c r="J70" s="130">
        <v>0.12</v>
      </c>
      <c r="K70" s="130">
        <v>0.124</v>
      </c>
      <c r="L70" s="130">
        <v>0.14299999999999999</v>
      </c>
      <c r="M70" s="130">
        <v>0.12</v>
      </c>
      <c r="N70" s="130">
        <v>0.18</v>
      </c>
      <c r="O70" s="130">
        <v>0.17599999999999999</v>
      </c>
      <c r="P70" s="130">
        <v>0.17799999999999999</v>
      </c>
      <c r="Q70" s="130">
        <v>0.247</v>
      </c>
      <c r="R70" s="130">
        <v>0.23599999999999999</v>
      </c>
      <c r="S70" s="130">
        <v>0.19400000000000001</v>
      </c>
      <c r="T70" s="130">
        <v>0.20499999999999999</v>
      </c>
      <c r="U70" s="130">
        <v>0.192</v>
      </c>
      <c r="V70" s="130">
        <v>0.16500000000000001</v>
      </c>
      <c r="W70" s="130">
        <v>0.254</v>
      </c>
      <c r="X70" s="130">
        <v>0.21199999999999999</v>
      </c>
      <c r="Y70" s="130">
        <v>0.157</v>
      </c>
      <c r="Z70" s="130">
        <v>9.1999999999999998E-2</v>
      </c>
      <c r="AA70" s="130">
        <v>0.13700000000000001</v>
      </c>
      <c r="AB70" s="130">
        <v>0.20699999999999999</v>
      </c>
      <c r="AC70" s="130">
        <v>0.218</v>
      </c>
      <c r="AD70" s="130">
        <v>9.6000000000000002E-2</v>
      </c>
      <c r="AE70" s="130">
        <v>5.2999999999999999E-2</v>
      </c>
      <c r="AF70" s="130">
        <v>0.219</v>
      </c>
      <c r="AG70" s="98"/>
    </row>
    <row r="71" spans="1:33" ht="15.75" customHeight="1" x14ac:dyDescent="0.25">
      <c r="C71" s="106"/>
      <c r="F71" s="106"/>
      <c r="G71" s="106"/>
      <c r="H71" s="106"/>
      <c r="I71" s="106"/>
      <c r="J71" s="106"/>
      <c r="K71" s="106"/>
      <c r="L71" s="106"/>
      <c r="M71" s="106"/>
      <c r="N71" s="106"/>
      <c r="O71" s="106"/>
      <c r="P71" s="106"/>
      <c r="Q71" s="106"/>
      <c r="R71" s="106"/>
      <c r="S71" s="106"/>
      <c r="T71" s="106"/>
      <c r="U71" s="106"/>
      <c r="V71" s="106"/>
      <c r="W71" s="106"/>
      <c r="X71" s="106"/>
      <c r="Y71" s="106"/>
      <c r="Z71" s="106"/>
      <c r="AA71" s="106"/>
      <c r="AB71" s="106"/>
      <c r="AC71" s="106"/>
      <c r="AD71" s="106"/>
      <c r="AE71" s="106"/>
      <c r="AF71" s="106"/>
    </row>
    <row r="72" spans="1:33" ht="15.75" customHeight="1" x14ac:dyDescent="0.25">
      <c r="B72" s="19" t="s">
        <v>276</v>
      </c>
      <c r="C72" s="130">
        <v>0.90650000000000008</v>
      </c>
      <c r="D72" s="109" t="s">
        <v>278</v>
      </c>
      <c r="E72" s="113" t="s">
        <v>277</v>
      </c>
      <c r="F72" s="134">
        <v>0.77099999999999991</v>
      </c>
      <c r="G72" s="130">
        <v>0.25730000000000003</v>
      </c>
      <c r="H72" s="130">
        <v>0.91980000000000006</v>
      </c>
      <c r="I72" s="130">
        <v>0.91980000000000006</v>
      </c>
      <c r="J72" s="130">
        <v>0.91980000000000006</v>
      </c>
      <c r="K72" s="130">
        <v>0.72360000000000002</v>
      </c>
      <c r="L72" s="130">
        <v>0.90650000000000008</v>
      </c>
      <c r="M72" s="130">
        <v>0.90650000000000008</v>
      </c>
      <c r="N72" s="130">
        <v>0.90650000000000008</v>
      </c>
      <c r="O72" s="130">
        <v>0.90650000000000008</v>
      </c>
      <c r="P72" s="130">
        <v>0.90650000000000008</v>
      </c>
      <c r="Q72" s="130">
        <v>0.87439999999999996</v>
      </c>
      <c r="R72" s="130">
        <v>0.87439999999999996</v>
      </c>
      <c r="S72" s="130">
        <v>0.91870000000000007</v>
      </c>
      <c r="T72" s="130">
        <v>0.91870000000000007</v>
      </c>
      <c r="U72" s="130">
        <v>0.91870000000000007</v>
      </c>
      <c r="V72" s="130">
        <v>0.80359999999999998</v>
      </c>
      <c r="W72" s="130">
        <v>0.80359999999999998</v>
      </c>
      <c r="X72" s="130">
        <v>0.80359999999999998</v>
      </c>
      <c r="Y72" s="130">
        <v>0.80359999999999998</v>
      </c>
      <c r="Z72" s="130">
        <v>0.83739999999999992</v>
      </c>
      <c r="AA72" s="130">
        <v>0.74980000000000002</v>
      </c>
      <c r="AB72" s="130">
        <v>0.77859999999999996</v>
      </c>
      <c r="AC72" s="130">
        <v>0.77859999999999996</v>
      </c>
      <c r="AD72" s="130">
        <v>0.77859999999999996</v>
      </c>
      <c r="AE72" s="130">
        <v>0.77859999999999996</v>
      </c>
      <c r="AF72" s="130">
        <v>0.86170000000000002</v>
      </c>
    </row>
  </sheetData>
  <mergeCells count="9">
    <mergeCell ref="E29:E32"/>
    <mergeCell ref="E45:E47"/>
    <mergeCell ref="E51:E55"/>
    <mergeCell ref="D17:D19"/>
    <mergeCell ref="D23:D26"/>
    <mergeCell ref="D29:D32"/>
    <mergeCell ref="D37:D40"/>
    <mergeCell ref="D45:D47"/>
    <mergeCell ref="D51:D55"/>
  </mergeCell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F9"/>
  <sheetViews>
    <sheetView zoomScale="60" zoomScaleNormal="60" workbookViewId="0">
      <selection activeCell="F20" sqref="F20"/>
    </sheetView>
  </sheetViews>
  <sheetFormatPr defaultColWidth="10.81640625" defaultRowHeight="15.5" x14ac:dyDescent="0.35"/>
  <cols>
    <col min="1" max="1" width="18.54296875" style="63" customWidth="1"/>
    <col min="2" max="5" width="10.81640625" style="63"/>
    <col min="6" max="6" width="17.7265625" style="63" customWidth="1"/>
    <col min="7" max="16384" width="10.81640625" style="63"/>
  </cols>
  <sheetData>
    <row r="1" spans="1:6" ht="52.5" x14ac:dyDescent="0.35">
      <c r="A1" s="68" t="s">
        <v>195</v>
      </c>
      <c r="B1" s="67" t="s">
        <v>176</v>
      </c>
      <c r="C1" s="67" t="s">
        <v>175</v>
      </c>
      <c r="D1" s="67" t="s">
        <v>174</v>
      </c>
      <c r="E1" s="67" t="s">
        <v>173</v>
      </c>
      <c r="F1" s="91" t="s">
        <v>209</v>
      </c>
    </row>
    <row r="2" spans="1:6" x14ac:dyDescent="0.35">
      <c r="A2" s="66" t="s">
        <v>165</v>
      </c>
      <c r="B2" s="65" t="s">
        <v>32</v>
      </c>
      <c r="C2" s="59">
        <f>1.5*0.61</f>
        <v>0.91500000000000004</v>
      </c>
      <c r="D2" s="59">
        <f>0.5*0.61</f>
        <v>0.30499999999999999</v>
      </c>
      <c r="E2" s="59">
        <v>0.05</v>
      </c>
      <c r="F2" s="157" t="s">
        <v>210</v>
      </c>
    </row>
    <row r="3" spans="1:6" x14ac:dyDescent="0.35">
      <c r="A3" s="65"/>
      <c r="B3" s="65" t="s">
        <v>1</v>
      </c>
      <c r="C3" s="59">
        <f>1.5*0.61</f>
        <v>0.91500000000000004</v>
      </c>
      <c r="D3" s="59">
        <f>0.5*0.61</f>
        <v>0.30499999999999999</v>
      </c>
      <c r="E3" s="59">
        <v>0.05</v>
      </c>
      <c r="F3" s="157"/>
    </row>
    <row r="4" spans="1:6" x14ac:dyDescent="0.35">
      <c r="A4" s="65"/>
      <c r="B4" s="65" t="s">
        <v>2</v>
      </c>
      <c r="C4" s="59">
        <f>1.5*0.61</f>
        <v>0.91500000000000004</v>
      </c>
      <c r="D4" s="59">
        <f>0.5*0.61</f>
        <v>0.30499999999999999</v>
      </c>
      <c r="E4" s="59">
        <v>0.05</v>
      </c>
      <c r="F4" s="157"/>
    </row>
    <row r="5" spans="1:6" x14ac:dyDescent="0.35">
      <c r="A5" s="65"/>
      <c r="B5" s="65" t="s">
        <v>3</v>
      </c>
      <c r="C5" s="59">
        <f>1.5*0.61</f>
        <v>0.91500000000000004</v>
      </c>
      <c r="D5" s="59">
        <f>0.5*0.61</f>
        <v>0.30499999999999999</v>
      </c>
      <c r="E5" s="59">
        <v>0.05</v>
      </c>
      <c r="F5" s="157"/>
    </row>
    <row r="6" spans="1:6" x14ac:dyDescent="0.35">
      <c r="A6" s="65"/>
      <c r="B6" s="65" t="s">
        <v>4</v>
      </c>
      <c r="C6" s="59">
        <f>1.5*0.61</f>
        <v>0.91500000000000004</v>
      </c>
      <c r="D6" s="59">
        <f>0.5*0.61</f>
        <v>0.30499999999999999</v>
      </c>
      <c r="E6" s="59">
        <v>0.05</v>
      </c>
      <c r="F6" s="157"/>
    </row>
    <row r="9" spans="1:6" x14ac:dyDescent="0.35">
      <c r="C9" s="64"/>
    </row>
  </sheetData>
  <mergeCells count="1">
    <mergeCell ref="F2:F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18"/>
  <sheetViews>
    <sheetView zoomScale="60" zoomScaleNormal="60" workbookViewId="0">
      <selection activeCell="F32" sqref="F32"/>
    </sheetView>
  </sheetViews>
  <sheetFormatPr defaultColWidth="11.36328125" defaultRowHeight="12.5" x14ac:dyDescent="0.25"/>
  <cols>
    <col min="1" max="1" width="53" style="57" bestFit="1" customWidth="1"/>
    <col min="2" max="2" width="47.81640625" style="42" customWidth="1"/>
    <col min="3" max="3" width="42.36328125" style="42" customWidth="1"/>
    <col min="4" max="16384" width="11.36328125" style="42"/>
  </cols>
  <sheetData>
    <row r="1" spans="1:3" ht="13" x14ac:dyDescent="0.3">
      <c r="A1" s="47" t="s">
        <v>69</v>
      </c>
      <c r="B1" s="47" t="s">
        <v>179</v>
      </c>
      <c r="C1" s="47" t="s">
        <v>178</v>
      </c>
    </row>
    <row r="2" spans="1:3" x14ac:dyDescent="0.25">
      <c r="A2" s="14" t="s">
        <v>186</v>
      </c>
      <c r="B2" s="53" t="s">
        <v>59</v>
      </c>
      <c r="C2" s="53"/>
    </row>
    <row r="3" spans="1:3" x14ac:dyDescent="0.25">
      <c r="A3" s="14" t="s">
        <v>191</v>
      </c>
      <c r="B3" s="53" t="s">
        <v>59</v>
      </c>
      <c r="C3" s="53"/>
    </row>
    <row r="4" spans="1:3" x14ac:dyDescent="0.25">
      <c r="A4" s="57" t="s">
        <v>58</v>
      </c>
      <c r="B4" s="53" t="s">
        <v>137</v>
      </c>
      <c r="C4" s="53"/>
    </row>
    <row r="5" spans="1:3" x14ac:dyDescent="0.25">
      <c r="A5" s="57" t="s">
        <v>138</v>
      </c>
      <c r="B5" s="53" t="s">
        <v>137</v>
      </c>
      <c r="C5" s="53"/>
    </row>
    <row r="11" spans="1:3" x14ac:dyDescent="0.25">
      <c r="A11" s="38"/>
    </row>
    <row r="12" spans="1:3" x14ac:dyDescent="0.25">
      <c r="A12" s="38"/>
    </row>
    <row r="13" spans="1:3" x14ac:dyDescent="0.25">
      <c r="A13" s="38"/>
    </row>
    <row r="14" spans="1:3" x14ac:dyDescent="0.25">
      <c r="A14" s="38"/>
    </row>
    <row r="15" spans="1:3" x14ac:dyDescent="0.25">
      <c r="A15" s="38"/>
    </row>
    <row r="16" spans="1:3" x14ac:dyDescent="0.25">
      <c r="A16" s="38"/>
    </row>
    <row r="17" spans="1:1" x14ac:dyDescent="0.25">
      <c r="A17" s="38"/>
    </row>
    <row r="18" spans="1:1" x14ac:dyDescent="0.25">
      <c r="A18" s="38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36328125" defaultRowHeight="12.5" x14ac:dyDescent="0.25"/>
  <cols>
    <col min="1" max="1" width="30.08984375" style="42" customWidth="1"/>
    <col min="2" max="16384" width="11.36328125" style="42"/>
  </cols>
  <sheetData>
    <row r="1" spans="1:1" ht="13" x14ac:dyDescent="0.3">
      <c r="A1" s="47" t="s">
        <v>69</v>
      </c>
    </row>
    <row r="2" spans="1:1" x14ac:dyDescent="0.25">
      <c r="A2" s="53" t="s">
        <v>198</v>
      </c>
    </row>
    <row r="3" spans="1:1" x14ac:dyDescent="0.25">
      <c r="A3" s="53" t="s">
        <v>57</v>
      </c>
    </row>
    <row r="4" spans="1:1" x14ac:dyDescent="0.25">
      <c r="A4" s="53" t="s">
        <v>34</v>
      </c>
    </row>
    <row r="5" spans="1:1" x14ac:dyDescent="0.25">
      <c r="A5" s="53" t="s">
        <v>83</v>
      </c>
    </row>
    <row r="6" spans="1:1" x14ac:dyDescent="0.25">
      <c r="A6" s="53" t="s">
        <v>82</v>
      </c>
    </row>
    <row r="7" spans="1:1" x14ac:dyDescent="0.25">
      <c r="A7" s="53" t="s">
        <v>81</v>
      </c>
    </row>
    <row r="8" spans="1:1" x14ac:dyDescent="0.25">
      <c r="A8" s="53" t="s">
        <v>79</v>
      </c>
    </row>
    <row r="9" spans="1:1" x14ac:dyDescent="0.25">
      <c r="A9" s="53" t="s">
        <v>80</v>
      </c>
    </row>
    <row r="10" spans="1:1" x14ac:dyDescent="0.25">
      <c r="A10" s="53"/>
    </row>
    <row r="11" spans="1:1" x14ac:dyDescent="0.25">
      <c r="A11" s="53"/>
    </row>
    <row r="12" spans="1:1" x14ac:dyDescent="0.25">
      <c r="A12" s="53"/>
    </row>
    <row r="13" spans="1:1" x14ac:dyDescent="0.25">
      <c r="A13" s="53"/>
    </row>
    <row r="14" spans="1:1" x14ac:dyDescent="0.25">
      <c r="A14" s="53"/>
    </row>
    <row r="15" spans="1:1" x14ac:dyDescent="0.25">
      <c r="A15" s="53"/>
    </row>
    <row r="16" spans="1:1" x14ac:dyDescent="0.25">
      <c r="A16" s="53"/>
    </row>
    <row r="17" spans="1:1" x14ac:dyDescent="0.25">
      <c r="A17" s="53"/>
    </row>
    <row r="18" spans="1:1" x14ac:dyDescent="0.25">
      <c r="A18" s="53"/>
    </row>
    <row r="19" spans="1:1" x14ac:dyDescent="0.25">
      <c r="A19" s="5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zoomScale="60" zoomScaleNormal="60" workbookViewId="0">
      <selection activeCell="I37" sqref="I37"/>
    </sheetView>
  </sheetViews>
  <sheetFormatPr defaultColWidth="14.36328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30">
        <f>'Baseline year population inputs'!C51</f>
        <v>3.3</v>
      </c>
      <c r="C2" s="30">
        <f>'Baseline year population inputs'!C52</f>
        <v>3.3</v>
      </c>
      <c r="D2" s="30">
        <f>'Baseline year population inputs'!C53</f>
        <v>3.3</v>
      </c>
      <c r="E2" s="30">
        <f>'Baseline year population inputs'!C54</f>
        <v>3.3</v>
      </c>
      <c r="F2" s="30">
        <f>'Baseline year population inputs'!C55</f>
        <v>3.3</v>
      </c>
    </row>
    <row r="3" spans="1:6" ht="15.75" customHeight="1" x14ac:dyDescent="0.25">
      <c r="A3" s="3" t="s">
        <v>65</v>
      </c>
      <c r="B3" s="30">
        <f>frac_mam_1month * 2.6</f>
        <v>0.1197677</v>
      </c>
      <c r="C3" s="30">
        <f>frac_mam_1_5months * 2.6</f>
        <v>0.1197677</v>
      </c>
      <c r="D3" s="30">
        <f>frac_mam_6_11months * 2.6</f>
        <v>0</v>
      </c>
      <c r="E3" s="30">
        <f>frac_mam_12_23months * 2.6</f>
        <v>0.15730650000000002</v>
      </c>
      <c r="F3" s="30">
        <f>frac_mam_24_59months * 2.6</f>
        <v>0.10290254</v>
      </c>
    </row>
    <row r="4" spans="1:6" ht="15.75" customHeight="1" x14ac:dyDescent="0.25">
      <c r="A4" s="3" t="s">
        <v>66</v>
      </c>
      <c r="B4" s="30">
        <f>frac_sam_1month * 2.6</f>
        <v>0</v>
      </c>
      <c r="C4" s="30">
        <f>frac_sam_1_5months * 2.6</f>
        <v>0</v>
      </c>
      <c r="D4" s="30">
        <f>frac_sam_6_11months * 2.6</f>
        <v>3.2736599999999998E-2</v>
      </c>
      <c r="E4" s="30">
        <f>frac_sam_12_23months * 2.6</f>
        <v>4.914806E-2</v>
      </c>
      <c r="F4" s="30">
        <f>frac_sam_24_59months * 2.6</f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39"/>
  <sheetViews>
    <sheetView zoomScale="60" zoomScaleNormal="60" workbookViewId="0">
      <selection activeCell="C1" sqref="C1"/>
    </sheetView>
  </sheetViews>
  <sheetFormatPr defaultColWidth="14.36328125" defaultRowHeight="15.75" customHeight="1" x14ac:dyDescent="0.25"/>
  <cols>
    <col min="1" max="1" width="20" bestFit="1" customWidth="1"/>
    <col min="2" max="2" width="45.81640625" customWidth="1"/>
    <col min="3" max="3" width="8.36328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089843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4" t="s">
        <v>61</v>
      </c>
      <c r="C2" s="40">
        <v>0</v>
      </c>
      <c r="D2" s="40">
        <f>food_insecure</f>
        <v>0.6</v>
      </c>
      <c r="E2" s="40">
        <f>food_insecure</f>
        <v>0.6</v>
      </c>
      <c r="F2" s="40">
        <f>food_insecure</f>
        <v>0.6</v>
      </c>
      <c r="G2" s="40">
        <f>food_insecure</f>
        <v>0.6</v>
      </c>
      <c r="H2" s="41">
        <v>0</v>
      </c>
      <c r="I2" s="41">
        <v>0</v>
      </c>
      <c r="J2" s="41">
        <v>0</v>
      </c>
      <c r="K2" s="41">
        <v>0</v>
      </c>
      <c r="L2" s="41">
        <v>0</v>
      </c>
      <c r="M2" s="41">
        <v>0</v>
      </c>
      <c r="N2" s="41">
        <v>0</v>
      </c>
      <c r="O2" s="41">
        <v>0</v>
      </c>
    </row>
    <row r="3" spans="1:15" ht="15.75" customHeight="1" x14ac:dyDescent="0.25">
      <c r="B3" s="9" t="s">
        <v>150</v>
      </c>
      <c r="C3" s="40">
        <v>1</v>
      </c>
      <c r="D3" s="40">
        <v>0</v>
      </c>
      <c r="E3" s="40">
        <v>0</v>
      </c>
      <c r="F3" s="40">
        <v>0</v>
      </c>
      <c r="G3" s="40">
        <v>0</v>
      </c>
      <c r="H3" s="41">
        <v>0</v>
      </c>
      <c r="I3" s="41">
        <v>0</v>
      </c>
      <c r="J3" s="41">
        <v>0</v>
      </c>
      <c r="K3" s="41">
        <v>0</v>
      </c>
      <c r="L3" s="41">
        <v>0</v>
      </c>
      <c r="M3" s="41">
        <v>0</v>
      </c>
      <c r="N3" s="41">
        <v>0</v>
      </c>
      <c r="O3" s="41">
        <v>0</v>
      </c>
    </row>
    <row r="4" spans="1:15" ht="15.75" customHeight="1" x14ac:dyDescent="0.25">
      <c r="B4" s="9" t="s">
        <v>196</v>
      </c>
      <c r="C4" s="40">
        <v>1</v>
      </c>
      <c r="D4" s="40">
        <v>0</v>
      </c>
      <c r="E4" s="40">
        <v>0</v>
      </c>
      <c r="F4" s="40">
        <v>0</v>
      </c>
      <c r="G4" s="40">
        <v>0</v>
      </c>
      <c r="H4" s="41">
        <v>0</v>
      </c>
      <c r="I4" s="41">
        <v>0</v>
      </c>
      <c r="J4" s="41">
        <v>0</v>
      </c>
      <c r="K4" s="41">
        <v>0</v>
      </c>
      <c r="L4" s="41">
        <v>0</v>
      </c>
      <c r="M4" s="41">
        <v>0</v>
      </c>
      <c r="N4" s="41">
        <v>0</v>
      </c>
      <c r="O4" s="41">
        <v>0</v>
      </c>
    </row>
    <row r="5" spans="1:15" ht="15.75" customHeight="1" x14ac:dyDescent="0.25">
      <c r="B5" s="14" t="s">
        <v>137</v>
      </c>
      <c r="C5" s="40">
        <v>0</v>
      </c>
      <c r="D5" s="40">
        <v>0</v>
      </c>
      <c r="E5" s="40">
        <f>food_insecure</f>
        <v>0.6</v>
      </c>
      <c r="F5" s="40">
        <f>food_insecure</f>
        <v>0.6</v>
      </c>
      <c r="G5" s="40">
        <v>0</v>
      </c>
      <c r="H5" s="41">
        <v>0</v>
      </c>
      <c r="I5" s="41">
        <v>0</v>
      </c>
      <c r="J5" s="41">
        <v>0</v>
      </c>
      <c r="K5" s="41">
        <v>0</v>
      </c>
      <c r="L5" s="41">
        <v>0</v>
      </c>
      <c r="M5" s="41">
        <v>0</v>
      </c>
      <c r="N5" s="41">
        <v>0</v>
      </c>
      <c r="O5" s="41">
        <v>0</v>
      </c>
    </row>
    <row r="6" spans="1:15" ht="15.75" customHeight="1" x14ac:dyDescent="0.25">
      <c r="B6" s="14" t="s">
        <v>138</v>
      </c>
      <c r="C6" s="40">
        <v>0</v>
      </c>
      <c r="D6" s="40">
        <v>0</v>
      </c>
      <c r="E6" s="40">
        <f>1</f>
        <v>1</v>
      </c>
      <c r="F6" s="40">
        <f>1</f>
        <v>1</v>
      </c>
      <c r="G6" s="40">
        <f>1</f>
        <v>1</v>
      </c>
      <c r="H6" s="41">
        <v>0</v>
      </c>
      <c r="I6" s="41">
        <v>0</v>
      </c>
      <c r="J6" s="41">
        <v>0</v>
      </c>
      <c r="K6" s="41">
        <v>0</v>
      </c>
      <c r="L6" s="41">
        <v>0</v>
      </c>
      <c r="M6" s="41">
        <v>0</v>
      </c>
      <c r="N6" s="41">
        <v>0</v>
      </c>
      <c r="O6" s="41">
        <v>0</v>
      </c>
    </row>
    <row r="7" spans="1:15" ht="15.75" customHeight="1" x14ac:dyDescent="0.25">
      <c r="B7" s="38" t="s">
        <v>84</v>
      </c>
      <c r="C7" s="40">
        <f>diarrhoea_1mo/26</f>
        <v>0.12692307692307692</v>
      </c>
      <c r="D7" s="40">
        <f>diarrhoea_1_5mo/26</f>
        <v>0.12692307692307692</v>
      </c>
      <c r="E7" s="40">
        <f>diarrhoea_6_11mo/26</f>
        <v>0.12692307692307692</v>
      </c>
      <c r="F7" s="40">
        <f>diarrhoea_12_23mo/26</f>
        <v>0.12692307692307692</v>
      </c>
      <c r="G7" s="40">
        <f>diarrhoea_24_59mo/26</f>
        <v>0.12692307692307692</v>
      </c>
      <c r="H7" s="41">
        <v>0</v>
      </c>
      <c r="I7" s="41">
        <v>0</v>
      </c>
      <c r="J7" s="41">
        <v>0</v>
      </c>
      <c r="K7" s="41">
        <v>0</v>
      </c>
      <c r="L7" s="41">
        <v>0</v>
      </c>
      <c r="M7" s="41">
        <v>0</v>
      </c>
      <c r="N7" s="41">
        <v>0</v>
      </c>
      <c r="O7" s="41">
        <v>0</v>
      </c>
    </row>
    <row r="8" spans="1:15" ht="15.75" customHeight="1" x14ac:dyDescent="0.25">
      <c r="B8" s="14" t="s">
        <v>58</v>
      </c>
      <c r="C8" s="40">
        <v>0</v>
      </c>
      <c r="D8" s="40">
        <v>0</v>
      </c>
      <c r="E8" s="40">
        <f>food_insecure</f>
        <v>0.6</v>
      </c>
      <c r="F8" s="40">
        <f>food_insecure</f>
        <v>0.6</v>
      </c>
      <c r="G8" s="40">
        <v>0</v>
      </c>
      <c r="H8" s="41">
        <v>0</v>
      </c>
      <c r="I8" s="41">
        <v>0</v>
      </c>
      <c r="J8" s="41">
        <v>0</v>
      </c>
      <c r="K8" s="41">
        <v>0</v>
      </c>
      <c r="L8" s="41">
        <v>0</v>
      </c>
      <c r="M8" s="41">
        <v>0</v>
      </c>
      <c r="N8" s="41">
        <v>0</v>
      </c>
      <c r="O8" s="41">
        <v>0</v>
      </c>
    </row>
    <row r="9" spans="1:15" ht="15.75" customHeight="1" x14ac:dyDescent="0.25">
      <c r="B9" s="14" t="s">
        <v>67</v>
      </c>
      <c r="C9" s="40">
        <v>0</v>
      </c>
      <c r="D9" s="40">
        <f>IF(ISBLANK(comm_deliv), frac_children_health_facility,1)</f>
        <v>0.35399999999999998</v>
      </c>
      <c r="E9" s="40">
        <f>IF(ISBLANK(comm_deliv), frac_children_health_facility,1)</f>
        <v>0.35399999999999998</v>
      </c>
      <c r="F9" s="40">
        <f>IF(ISBLANK(comm_deliv), frac_children_health_facility,1)</f>
        <v>0.35399999999999998</v>
      </c>
      <c r="G9" s="40">
        <f>IF(ISBLANK(comm_deliv), frac_children_health_facility,1)</f>
        <v>0.35399999999999998</v>
      </c>
      <c r="H9" s="41">
        <v>0</v>
      </c>
      <c r="I9" s="41">
        <v>0</v>
      </c>
      <c r="J9" s="41">
        <v>0</v>
      </c>
      <c r="K9" s="41">
        <v>0</v>
      </c>
      <c r="L9" s="41">
        <v>0</v>
      </c>
      <c r="M9" s="41">
        <v>0</v>
      </c>
      <c r="N9" s="41">
        <v>0</v>
      </c>
      <c r="O9" s="41">
        <v>0</v>
      </c>
    </row>
    <row r="10" spans="1:15" ht="15" customHeight="1" x14ac:dyDescent="0.25">
      <c r="B10" s="14" t="s">
        <v>28</v>
      </c>
      <c r="C10" s="40">
        <v>0</v>
      </c>
      <c r="D10" s="40">
        <v>0</v>
      </c>
      <c r="E10" s="40">
        <v>1</v>
      </c>
      <c r="F10" s="40">
        <v>1</v>
      </c>
      <c r="G10" s="40">
        <v>1</v>
      </c>
      <c r="H10" s="41">
        <v>0</v>
      </c>
      <c r="I10" s="41">
        <v>0</v>
      </c>
      <c r="J10" s="41">
        <v>0</v>
      </c>
      <c r="K10" s="41">
        <v>0</v>
      </c>
      <c r="L10" s="41">
        <v>0</v>
      </c>
      <c r="M10" s="41">
        <v>0</v>
      </c>
      <c r="N10" s="41">
        <v>0</v>
      </c>
      <c r="O10" s="41">
        <v>0</v>
      </c>
    </row>
    <row r="11" spans="1:15" ht="15.75" customHeight="1" x14ac:dyDescent="0.25">
      <c r="B11" s="38" t="s">
        <v>85</v>
      </c>
      <c r="C11" s="40">
        <f>diarrhoea_1mo/26</f>
        <v>0.12692307692307692</v>
      </c>
      <c r="D11" s="40">
        <f>diarrhoea_1_5mo/26</f>
        <v>0.12692307692307692</v>
      </c>
      <c r="E11" s="40">
        <f>diarrhoea_6_11mo/26</f>
        <v>0.12692307692307692</v>
      </c>
      <c r="F11" s="40">
        <f>diarrhoea_12_23mo/26</f>
        <v>0.12692307692307692</v>
      </c>
      <c r="G11" s="40">
        <f>diarrhoea_24_59mo/26</f>
        <v>0.12692307692307692</v>
      </c>
      <c r="H11" s="41">
        <v>0</v>
      </c>
      <c r="I11" s="41">
        <v>0</v>
      </c>
      <c r="J11" s="41">
        <v>0</v>
      </c>
      <c r="K11" s="41">
        <v>0</v>
      </c>
      <c r="L11" s="41">
        <v>0</v>
      </c>
      <c r="M11" s="41">
        <v>0</v>
      </c>
      <c r="N11" s="41">
        <v>0</v>
      </c>
      <c r="O11" s="41">
        <v>0</v>
      </c>
    </row>
    <row r="12" spans="1:15" ht="15.75" customHeight="1" x14ac:dyDescent="0.25">
      <c r="B12" s="14" t="s">
        <v>60</v>
      </c>
      <c r="C12" s="40">
        <v>0</v>
      </c>
      <c r="D12" s="40">
        <v>0</v>
      </c>
      <c r="E12" s="40">
        <v>1</v>
      </c>
      <c r="F12" s="40">
        <v>1</v>
      </c>
      <c r="G12" s="40">
        <v>1</v>
      </c>
      <c r="H12" s="41">
        <v>0</v>
      </c>
      <c r="I12" s="41">
        <v>0</v>
      </c>
      <c r="J12" s="41">
        <v>0</v>
      </c>
      <c r="K12" s="41">
        <v>0</v>
      </c>
      <c r="L12" s="41">
        <v>0</v>
      </c>
      <c r="M12" s="41">
        <v>0</v>
      </c>
      <c r="N12" s="41">
        <v>0</v>
      </c>
      <c r="O12" s="41">
        <v>0</v>
      </c>
    </row>
    <row r="13" spans="1:15" ht="15.75" customHeight="1" x14ac:dyDescent="0.25">
      <c r="B13" s="38"/>
    </row>
    <row r="14" spans="1:15" ht="15.75" customHeight="1" x14ac:dyDescent="0.3">
      <c r="A14" s="4" t="s">
        <v>32</v>
      </c>
      <c r="B14" s="38" t="s">
        <v>29</v>
      </c>
      <c r="C14" s="41">
        <v>0</v>
      </c>
      <c r="D14" s="41">
        <v>0</v>
      </c>
      <c r="E14" s="41">
        <v>0</v>
      </c>
      <c r="F14" s="41">
        <v>0</v>
      </c>
      <c r="G14" s="41">
        <v>0</v>
      </c>
      <c r="H14" s="40">
        <f>food_insecure</f>
        <v>0.6</v>
      </c>
      <c r="I14" s="40">
        <f>food_insecure</f>
        <v>0.6</v>
      </c>
      <c r="J14" s="40">
        <f>food_insecure</f>
        <v>0.6</v>
      </c>
      <c r="K14" s="40">
        <f>food_insecure</f>
        <v>0.6</v>
      </c>
      <c r="L14" s="41">
        <v>0</v>
      </c>
      <c r="M14" s="41">
        <v>0</v>
      </c>
      <c r="N14" s="41">
        <v>0</v>
      </c>
      <c r="O14" s="41">
        <v>0</v>
      </c>
    </row>
    <row r="15" spans="1:15" ht="15.75" customHeight="1" x14ac:dyDescent="0.3">
      <c r="A15" s="4"/>
      <c r="B15" s="14" t="s">
        <v>86</v>
      </c>
      <c r="C15" s="41">
        <v>0</v>
      </c>
      <c r="D15" s="41">
        <v>0</v>
      </c>
      <c r="E15" s="41">
        <v>0</v>
      </c>
      <c r="F15" s="41">
        <v>0</v>
      </c>
      <c r="G15" s="41">
        <v>0</v>
      </c>
      <c r="H15" s="40">
        <v>1</v>
      </c>
      <c r="I15" s="40">
        <v>1</v>
      </c>
      <c r="J15" s="40">
        <v>1</v>
      </c>
      <c r="K15" s="40">
        <v>1</v>
      </c>
      <c r="L15" s="41">
        <v>0</v>
      </c>
      <c r="M15" s="41">
        <v>0</v>
      </c>
      <c r="N15" s="41">
        <v>0</v>
      </c>
      <c r="O15" s="41">
        <v>0</v>
      </c>
    </row>
    <row r="16" spans="1:15" ht="15.75" customHeight="1" x14ac:dyDescent="0.3">
      <c r="A16" s="4"/>
      <c r="B16" s="14" t="s">
        <v>186</v>
      </c>
      <c r="C16" s="41">
        <v>0</v>
      </c>
      <c r="D16" s="41">
        <v>0</v>
      </c>
      <c r="E16" s="41">
        <v>0</v>
      </c>
      <c r="F16" s="41">
        <v>0</v>
      </c>
      <c r="G16" s="41">
        <v>0</v>
      </c>
      <c r="H16" s="40">
        <f xml:space="preserve"> 1</f>
        <v>1</v>
      </c>
      <c r="I16" s="40">
        <f xml:space="preserve"> 1</f>
        <v>1</v>
      </c>
      <c r="J16" s="40">
        <f xml:space="preserve"> 1</f>
        <v>1</v>
      </c>
      <c r="K16" s="40">
        <f xml:space="preserve"> 1</f>
        <v>1</v>
      </c>
      <c r="L16" s="41">
        <v>0</v>
      </c>
      <c r="M16" s="41">
        <v>0</v>
      </c>
      <c r="N16" s="41">
        <v>0</v>
      </c>
      <c r="O16" s="41">
        <v>0</v>
      </c>
    </row>
    <row r="17" spans="1:15" ht="15.75" customHeight="1" x14ac:dyDescent="0.3">
      <c r="A17" s="4"/>
      <c r="B17" s="14" t="s">
        <v>191</v>
      </c>
      <c r="C17" s="41">
        <v>0</v>
      </c>
      <c r="D17" s="41">
        <v>0</v>
      </c>
      <c r="E17" s="41">
        <v>0</v>
      </c>
      <c r="F17" s="41">
        <v>0</v>
      </c>
      <c r="G17" s="41">
        <v>0</v>
      </c>
      <c r="H17" s="40">
        <f>frac_PW_health_facility</f>
        <v>0.42059999999999997</v>
      </c>
      <c r="I17" s="40">
        <f>frac_PW_health_facility</f>
        <v>0.42059999999999997</v>
      </c>
      <c r="J17" s="40">
        <f>frac_PW_health_facility</f>
        <v>0.42059999999999997</v>
      </c>
      <c r="K17" s="40">
        <f>frac_PW_health_facility</f>
        <v>0.42059999999999997</v>
      </c>
      <c r="L17" s="41">
        <v>0</v>
      </c>
      <c r="M17" s="41">
        <v>0</v>
      </c>
      <c r="N17" s="41">
        <v>0</v>
      </c>
      <c r="O17" s="41">
        <v>0</v>
      </c>
    </row>
    <row r="18" spans="1:15" ht="15" customHeight="1" x14ac:dyDescent="0.25">
      <c r="B18" s="38" t="s">
        <v>57</v>
      </c>
      <c r="C18" s="41">
        <v>0</v>
      </c>
      <c r="D18" s="41">
        <v>0</v>
      </c>
      <c r="E18" s="41">
        <v>0</v>
      </c>
      <c r="F18" s="41">
        <v>0</v>
      </c>
      <c r="G18" s="41">
        <v>0</v>
      </c>
      <c r="H18" s="40">
        <f>frac_malaria_risk</f>
        <v>0.33169999999999999</v>
      </c>
      <c r="I18" s="40">
        <f>frac_malaria_risk</f>
        <v>0.33169999999999999</v>
      </c>
      <c r="J18" s="40">
        <f>frac_malaria_risk</f>
        <v>0.33169999999999999</v>
      </c>
      <c r="K18" s="40">
        <f>frac_malaria_risk</f>
        <v>0.33169999999999999</v>
      </c>
      <c r="L18" s="41">
        <v>0</v>
      </c>
      <c r="M18" s="41">
        <v>0</v>
      </c>
      <c r="N18" s="41">
        <v>0</v>
      </c>
      <c r="O18" s="41">
        <v>0</v>
      </c>
    </row>
    <row r="19" spans="1:15" ht="15.75" customHeight="1" x14ac:dyDescent="0.25">
      <c r="B19" s="14" t="s">
        <v>88</v>
      </c>
      <c r="C19" s="41">
        <v>0</v>
      </c>
      <c r="D19" s="41">
        <v>0</v>
      </c>
      <c r="E19" s="41">
        <v>0</v>
      </c>
      <c r="F19" s="41">
        <v>0</v>
      </c>
      <c r="G19" s="41">
        <v>0</v>
      </c>
      <c r="H19" s="40">
        <v>1</v>
      </c>
      <c r="I19" s="40">
        <v>1</v>
      </c>
      <c r="J19" s="40">
        <v>1</v>
      </c>
      <c r="K19" s="40">
        <v>1</v>
      </c>
      <c r="L19" s="41">
        <v>0</v>
      </c>
      <c r="M19" s="41">
        <v>0</v>
      </c>
      <c r="N19" s="41">
        <v>0</v>
      </c>
      <c r="O19" s="41">
        <v>0</v>
      </c>
    </row>
    <row r="20" spans="1:15" ht="15.75" customHeight="1" x14ac:dyDescent="0.25">
      <c r="B20" s="14" t="s">
        <v>87</v>
      </c>
      <c r="C20" s="41">
        <v>0</v>
      </c>
      <c r="D20" s="41">
        <v>0</v>
      </c>
      <c r="E20" s="41">
        <v>0</v>
      </c>
      <c r="F20" s="41">
        <v>0</v>
      </c>
      <c r="G20" s="41">
        <v>0</v>
      </c>
      <c r="H20" s="40">
        <v>1</v>
      </c>
      <c r="I20" s="40">
        <v>1</v>
      </c>
      <c r="J20" s="40">
        <v>1</v>
      </c>
      <c r="K20" s="40">
        <v>1</v>
      </c>
      <c r="L20" s="41">
        <v>0</v>
      </c>
      <c r="M20" s="41">
        <v>0</v>
      </c>
      <c r="N20" s="41">
        <v>0</v>
      </c>
      <c r="O20" s="41">
        <v>0</v>
      </c>
    </row>
    <row r="21" spans="1:15" ht="15.75" customHeight="1" x14ac:dyDescent="0.25">
      <c r="B21" s="38" t="s">
        <v>59</v>
      </c>
      <c r="C21" s="41">
        <v>0</v>
      </c>
      <c r="D21" s="41">
        <v>0</v>
      </c>
      <c r="E21" s="41">
        <v>0</v>
      </c>
      <c r="F21" s="41">
        <v>0</v>
      </c>
      <c r="G21" s="41">
        <v>0</v>
      </c>
      <c r="H21" s="40">
        <f>1</f>
        <v>1</v>
      </c>
      <c r="I21" s="40">
        <f>1</f>
        <v>1</v>
      </c>
      <c r="J21" s="40">
        <f>1</f>
        <v>1</v>
      </c>
      <c r="K21" s="40">
        <f>1</f>
        <v>1</v>
      </c>
      <c r="L21" s="41">
        <v>0</v>
      </c>
      <c r="M21" s="41">
        <v>0</v>
      </c>
      <c r="N21" s="41">
        <v>0</v>
      </c>
      <c r="O21" s="41">
        <v>0</v>
      </c>
    </row>
    <row r="22" spans="1:15" ht="15.75" customHeight="1" x14ac:dyDescent="0.25">
      <c r="B22" s="38"/>
    </row>
    <row r="23" spans="1:15" ht="15.75" customHeight="1" x14ac:dyDescent="0.3">
      <c r="A23" s="69" t="s">
        <v>37</v>
      </c>
      <c r="B23" s="70" t="s">
        <v>198</v>
      </c>
      <c r="C23" s="41">
        <v>0</v>
      </c>
      <c r="D23" s="41">
        <v>0</v>
      </c>
      <c r="E23" s="41">
        <v>0</v>
      </c>
      <c r="F23" s="41">
        <v>0</v>
      </c>
      <c r="G23" s="41">
        <v>0</v>
      </c>
      <c r="H23" s="41">
        <v>0</v>
      </c>
      <c r="I23" s="41">
        <v>0</v>
      </c>
      <c r="J23" s="41">
        <v>0</v>
      </c>
      <c r="K23" s="41">
        <v>0</v>
      </c>
      <c r="L23" s="40">
        <v>1</v>
      </c>
      <c r="M23" s="40">
        <v>1</v>
      </c>
      <c r="N23" s="40">
        <v>1</v>
      </c>
      <c r="O23" s="40">
        <v>1</v>
      </c>
    </row>
    <row r="24" spans="1:15" ht="15.75" customHeight="1" x14ac:dyDescent="0.25">
      <c r="B24" s="70" t="s">
        <v>187</v>
      </c>
      <c r="C24" s="41">
        <v>0</v>
      </c>
      <c r="D24" s="41">
        <v>0</v>
      </c>
      <c r="E24" s="41">
        <v>0</v>
      </c>
      <c r="F24" s="41">
        <v>0</v>
      </c>
      <c r="G24" s="41">
        <v>0</v>
      </c>
      <c r="H24" s="41">
        <v>0</v>
      </c>
      <c r="I24" s="41">
        <v>0</v>
      </c>
      <c r="J24" s="41">
        <v>0</v>
      </c>
      <c r="K24" s="41">
        <v>0</v>
      </c>
      <c r="L24" s="40">
        <f>(1-food_insecure)*(0.49)*(1-school_attendance) + food_insecure*(0.7)*(1-school_attendance)</f>
        <v>0.31200399999999995</v>
      </c>
      <c r="M24" s="40">
        <f>(1-food_insecure)*(0.49)+food_insecure*(0.7)</f>
        <v>0.61599999999999999</v>
      </c>
      <c r="N24" s="40">
        <f>(1-food_insecure)*(0.49)+food_insecure*(0.7)</f>
        <v>0.61599999999999999</v>
      </c>
      <c r="O24" s="40">
        <f>(1-food_insecure)*(0.49)+food_insecure*(0.7)</f>
        <v>0.61599999999999999</v>
      </c>
    </row>
    <row r="25" spans="1:15" ht="15.75" customHeight="1" x14ac:dyDescent="0.25">
      <c r="B25" s="70" t="s">
        <v>188</v>
      </c>
      <c r="C25" s="41">
        <v>0</v>
      </c>
      <c r="D25" s="41">
        <v>0</v>
      </c>
      <c r="E25" s="41">
        <v>0</v>
      </c>
      <c r="F25" s="41">
        <v>0</v>
      </c>
      <c r="G25" s="41">
        <v>0</v>
      </c>
      <c r="H25" s="41">
        <v>0</v>
      </c>
      <c r="I25" s="41">
        <v>0</v>
      </c>
      <c r="J25" s="41">
        <v>0</v>
      </c>
      <c r="K25" s="41">
        <v>0</v>
      </c>
      <c r="L25" s="40">
        <f>(1-food_insecure)*(0.21)*(1-school_attendance) + food_insecure*(0.3)*(1-school_attendance)</f>
        <v>0.133716</v>
      </c>
      <c r="M25" s="40">
        <f>(1-food_insecure)*(0.21)+food_insecure*(0.3)</f>
        <v>0.26400000000000001</v>
      </c>
      <c r="N25" s="40">
        <f>(1-food_insecure)*(0.21)+food_insecure*(0.3)</f>
        <v>0.26400000000000001</v>
      </c>
      <c r="O25" s="40">
        <f>(1-food_insecure)*(0.21)+food_insecure*(0.3)</f>
        <v>0.26400000000000001</v>
      </c>
    </row>
    <row r="26" spans="1:15" ht="15.75" customHeight="1" x14ac:dyDescent="0.25">
      <c r="B26" s="70" t="s">
        <v>189</v>
      </c>
      <c r="C26" s="41">
        <v>0</v>
      </c>
      <c r="D26" s="41">
        <v>0</v>
      </c>
      <c r="E26" s="41">
        <v>0</v>
      </c>
      <c r="F26" s="41">
        <v>0</v>
      </c>
      <c r="G26" s="41">
        <v>0</v>
      </c>
      <c r="H26" s="41">
        <v>0</v>
      </c>
      <c r="I26" s="41">
        <v>0</v>
      </c>
      <c r="J26" s="41">
        <v>0</v>
      </c>
      <c r="K26" s="41">
        <v>0</v>
      </c>
      <c r="L26" s="40">
        <f>(1-food_insecure)*(0.3)*(1-school_attendance)</f>
        <v>6.0779999999999994E-2</v>
      </c>
      <c r="M26" s="40">
        <f>(1-food_insecure)*(0.3)</f>
        <v>0.12</v>
      </c>
      <c r="N26" s="40">
        <f>(1-food_insecure)*(0.3)</f>
        <v>0.12</v>
      </c>
      <c r="O26" s="40">
        <f>(1-food_insecure)*(0.3)</f>
        <v>0.12</v>
      </c>
    </row>
    <row r="27" spans="1:15" ht="15.75" customHeight="1" x14ac:dyDescent="0.25">
      <c r="B27" s="70" t="s">
        <v>190</v>
      </c>
      <c r="C27" s="41">
        <v>0</v>
      </c>
      <c r="D27" s="41">
        <v>0</v>
      </c>
      <c r="E27" s="41">
        <v>0</v>
      </c>
      <c r="F27" s="41">
        <v>0</v>
      </c>
      <c r="G27" s="41">
        <v>0</v>
      </c>
      <c r="H27" s="41">
        <v>0</v>
      </c>
      <c r="I27" s="41">
        <v>0</v>
      </c>
      <c r="J27" s="41">
        <v>0</v>
      </c>
      <c r="K27" s="41">
        <v>0</v>
      </c>
      <c r="L27" s="40">
        <f>(1-food_insecure)*1*school_attendance + food_insecure*1*school_attendance</f>
        <v>0.49349999999999999</v>
      </c>
      <c r="M27" s="40">
        <v>0</v>
      </c>
      <c r="N27" s="40">
        <v>0</v>
      </c>
      <c r="O27" s="40">
        <v>0</v>
      </c>
    </row>
    <row r="28" spans="1:15" ht="15.75" customHeight="1" x14ac:dyDescent="0.25">
      <c r="B28" s="14"/>
      <c r="C28" s="2"/>
      <c r="D28" s="2"/>
      <c r="E28" s="13"/>
      <c r="F28" s="13"/>
      <c r="G28" s="13"/>
      <c r="H28" s="13"/>
      <c r="I28" s="13"/>
    </row>
    <row r="29" spans="1:15" ht="15.75" customHeight="1" x14ac:dyDescent="0.3">
      <c r="A29" s="4" t="s">
        <v>35</v>
      </c>
      <c r="B29" s="14" t="s">
        <v>63</v>
      </c>
      <c r="C29" s="40">
        <v>0</v>
      </c>
      <c r="D29" s="40">
        <v>0</v>
      </c>
      <c r="E29" s="40">
        <f t="shared" ref="E29:O29" si="0">frac_maize</f>
        <v>0</v>
      </c>
      <c r="F29" s="40">
        <f t="shared" si="0"/>
        <v>0</v>
      </c>
      <c r="G29" s="40">
        <f t="shared" si="0"/>
        <v>0</v>
      </c>
      <c r="H29" s="40">
        <f t="shared" si="0"/>
        <v>0</v>
      </c>
      <c r="I29" s="40">
        <f t="shared" si="0"/>
        <v>0</v>
      </c>
      <c r="J29" s="40">
        <f t="shared" si="0"/>
        <v>0</v>
      </c>
      <c r="K29" s="40">
        <f t="shared" si="0"/>
        <v>0</v>
      </c>
      <c r="L29" s="40">
        <f t="shared" si="0"/>
        <v>0</v>
      </c>
      <c r="M29" s="40">
        <f t="shared" si="0"/>
        <v>0</v>
      </c>
      <c r="N29" s="40">
        <f t="shared" si="0"/>
        <v>0</v>
      </c>
      <c r="O29" s="40">
        <f t="shared" si="0"/>
        <v>0</v>
      </c>
    </row>
    <row r="30" spans="1:15" ht="15.75" customHeight="1" x14ac:dyDescent="0.25">
      <c r="B30" s="14" t="s">
        <v>64</v>
      </c>
      <c r="C30" s="40">
        <v>0</v>
      </c>
      <c r="D30" s="40">
        <v>0</v>
      </c>
      <c r="E30" s="40">
        <f t="shared" ref="E30:O30" si="1">frac_rice</f>
        <v>0</v>
      </c>
      <c r="F30" s="40">
        <f t="shared" si="1"/>
        <v>0</v>
      </c>
      <c r="G30" s="40">
        <f t="shared" si="1"/>
        <v>0</v>
      </c>
      <c r="H30" s="40">
        <f t="shared" si="1"/>
        <v>0</v>
      </c>
      <c r="I30" s="40">
        <f t="shared" si="1"/>
        <v>0</v>
      </c>
      <c r="J30" s="40">
        <f t="shared" si="1"/>
        <v>0</v>
      </c>
      <c r="K30" s="40">
        <f t="shared" si="1"/>
        <v>0</v>
      </c>
      <c r="L30" s="40">
        <f t="shared" si="1"/>
        <v>0</v>
      </c>
      <c r="M30" s="40">
        <f t="shared" si="1"/>
        <v>0</v>
      </c>
      <c r="N30" s="40">
        <f t="shared" si="1"/>
        <v>0</v>
      </c>
      <c r="O30" s="40">
        <f t="shared" si="1"/>
        <v>0</v>
      </c>
    </row>
    <row r="31" spans="1:15" ht="15.75" customHeight="1" x14ac:dyDescent="0.25">
      <c r="B31" s="14" t="s">
        <v>62</v>
      </c>
      <c r="C31" s="40">
        <v>0</v>
      </c>
      <c r="D31" s="40">
        <v>0</v>
      </c>
      <c r="E31" s="40">
        <f t="shared" ref="E31:O31" si="2">frac_wheat</f>
        <v>0</v>
      </c>
      <c r="F31" s="40">
        <f t="shared" si="2"/>
        <v>0</v>
      </c>
      <c r="G31" s="40">
        <f t="shared" si="2"/>
        <v>0</v>
      </c>
      <c r="H31" s="40">
        <f t="shared" si="2"/>
        <v>0</v>
      </c>
      <c r="I31" s="40">
        <f t="shared" si="2"/>
        <v>0</v>
      </c>
      <c r="J31" s="40">
        <f t="shared" si="2"/>
        <v>0</v>
      </c>
      <c r="K31" s="40">
        <f t="shared" si="2"/>
        <v>0</v>
      </c>
      <c r="L31" s="40">
        <f t="shared" si="2"/>
        <v>0</v>
      </c>
      <c r="M31" s="40">
        <f t="shared" si="2"/>
        <v>0</v>
      </c>
      <c r="N31" s="40">
        <f t="shared" si="2"/>
        <v>0</v>
      </c>
      <c r="O31" s="40">
        <f t="shared" si="2"/>
        <v>0</v>
      </c>
    </row>
    <row r="32" spans="1:15" ht="15.75" customHeight="1" x14ac:dyDescent="0.25">
      <c r="B32" s="14" t="s">
        <v>47</v>
      </c>
      <c r="C32" s="40">
        <v>0</v>
      </c>
      <c r="D32" s="40">
        <v>0</v>
      </c>
      <c r="E32" s="40">
        <v>1</v>
      </c>
      <c r="F32" s="40">
        <v>1</v>
      </c>
      <c r="G32" s="40">
        <v>1</v>
      </c>
      <c r="H32" s="40">
        <v>1</v>
      </c>
      <c r="I32" s="40">
        <v>1</v>
      </c>
      <c r="J32" s="40">
        <v>1</v>
      </c>
      <c r="K32" s="40">
        <v>1</v>
      </c>
      <c r="L32" s="40">
        <v>1</v>
      </c>
      <c r="M32" s="40">
        <v>1</v>
      </c>
      <c r="N32" s="40">
        <v>1</v>
      </c>
      <c r="O32" s="40">
        <v>1</v>
      </c>
    </row>
    <row r="33" spans="1:15" ht="15.75" customHeight="1" x14ac:dyDescent="0.25">
      <c r="B33" s="14" t="s">
        <v>34</v>
      </c>
      <c r="C33" s="40">
        <f t="shared" ref="C33:O33" si="3">frac_malaria_risk</f>
        <v>0.33169999999999999</v>
      </c>
      <c r="D33" s="40">
        <f t="shared" si="3"/>
        <v>0.33169999999999999</v>
      </c>
      <c r="E33" s="40">
        <f t="shared" si="3"/>
        <v>0.33169999999999999</v>
      </c>
      <c r="F33" s="40">
        <f t="shared" si="3"/>
        <v>0.33169999999999999</v>
      </c>
      <c r="G33" s="40">
        <f t="shared" si="3"/>
        <v>0.33169999999999999</v>
      </c>
      <c r="H33" s="40">
        <f t="shared" si="3"/>
        <v>0.33169999999999999</v>
      </c>
      <c r="I33" s="40">
        <f t="shared" si="3"/>
        <v>0.33169999999999999</v>
      </c>
      <c r="J33" s="40">
        <f t="shared" si="3"/>
        <v>0.33169999999999999</v>
      </c>
      <c r="K33" s="40">
        <f t="shared" si="3"/>
        <v>0.33169999999999999</v>
      </c>
      <c r="L33" s="40">
        <f t="shared" si="3"/>
        <v>0.33169999999999999</v>
      </c>
      <c r="M33" s="40">
        <f t="shared" si="3"/>
        <v>0.33169999999999999</v>
      </c>
      <c r="N33" s="40">
        <f t="shared" si="3"/>
        <v>0.33169999999999999</v>
      </c>
      <c r="O33" s="40">
        <f t="shared" si="3"/>
        <v>0.33169999999999999</v>
      </c>
    </row>
    <row r="34" spans="1:15" ht="15.75" customHeight="1" x14ac:dyDescent="0.25">
      <c r="B34" s="38" t="s">
        <v>83</v>
      </c>
      <c r="C34" s="40">
        <v>1</v>
      </c>
      <c r="D34" s="40">
        <v>1</v>
      </c>
      <c r="E34" s="40">
        <v>1</v>
      </c>
      <c r="F34" s="40">
        <v>1</v>
      </c>
      <c r="G34" s="40">
        <v>1</v>
      </c>
      <c r="H34" s="40">
        <v>1</v>
      </c>
      <c r="I34" s="40">
        <v>1</v>
      </c>
      <c r="J34" s="40">
        <v>1</v>
      </c>
      <c r="K34" s="40">
        <v>1</v>
      </c>
      <c r="L34" s="40">
        <v>1</v>
      </c>
      <c r="M34" s="40">
        <v>1</v>
      </c>
      <c r="N34" s="40">
        <v>1</v>
      </c>
      <c r="O34" s="40">
        <v>1</v>
      </c>
    </row>
    <row r="35" spans="1:15" ht="15.75" customHeight="1" x14ac:dyDescent="0.25">
      <c r="A35" s="5"/>
      <c r="B35" s="38" t="s">
        <v>82</v>
      </c>
      <c r="C35" s="40">
        <v>1</v>
      </c>
      <c r="D35" s="40">
        <v>1</v>
      </c>
      <c r="E35" s="40">
        <v>1</v>
      </c>
      <c r="F35" s="40">
        <v>1</v>
      </c>
      <c r="G35" s="40">
        <v>1</v>
      </c>
      <c r="H35" s="40">
        <v>1</v>
      </c>
      <c r="I35" s="40">
        <v>1</v>
      </c>
      <c r="J35" s="40">
        <v>1</v>
      </c>
      <c r="K35" s="40">
        <v>1</v>
      </c>
      <c r="L35" s="40">
        <v>1</v>
      </c>
      <c r="M35" s="40">
        <v>1</v>
      </c>
      <c r="N35" s="40">
        <v>1</v>
      </c>
      <c r="O35" s="40">
        <v>1</v>
      </c>
    </row>
    <row r="36" spans="1:15" s="5" customFormat="1" ht="15.75" customHeight="1" x14ac:dyDescent="0.25">
      <c r="B36" s="38" t="s">
        <v>81</v>
      </c>
      <c r="C36" s="40">
        <v>1</v>
      </c>
      <c r="D36" s="40">
        <v>1</v>
      </c>
      <c r="E36" s="40">
        <v>1</v>
      </c>
      <c r="F36" s="40">
        <v>1</v>
      </c>
      <c r="G36" s="40">
        <v>1</v>
      </c>
      <c r="H36" s="40">
        <v>1</v>
      </c>
      <c r="I36" s="40">
        <v>1</v>
      </c>
      <c r="J36" s="40">
        <v>1</v>
      </c>
      <c r="K36" s="40">
        <v>1</v>
      </c>
      <c r="L36" s="40">
        <v>1</v>
      </c>
      <c r="M36" s="40">
        <v>1</v>
      </c>
      <c r="N36" s="40">
        <v>1</v>
      </c>
      <c r="O36" s="40">
        <v>1</v>
      </c>
    </row>
    <row r="37" spans="1:15" s="5" customFormat="1" ht="15.75" customHeight="1" x14ac:dyDescent="0.25">
      <c r="B37" s="38" t="s">
        <v>79</v>
      </c>
      <c r="C37" s="40">
        <v>1</v>
      </c>
      <c r="D37" s="40">
        <v>1</v>
      </c>
      <c r="E37" s="40">
        <v>1</v>
      </c>
      <c r="F37" s="40">
        <v>1</v>
      </c>
      <c r="G37" s="40">
        <v>1</v>
      </c>
      <c r="H37" s="40">
        <v>1</v>
      </c>
      <c r="I37" s="40">
        <v>1</v>
      </c>
      <c r="J37" s="40">
        <v>1</v>
      </c>
      <c r="K37" s="40">
        <v>1</v>
      </c>
      <c r="L37" s="40">
        <v>1</v>
      </c>
      <c r="M37" s="40">
        <v>1</v>
      </c>
      <c r="N37" s="40">
        <v>1</v>
      </c>
      <c r="O37" s="40">
        <v>1</v>
      </c>
    </row>
    <row r="38" spans="1:15" s="5" customFormat="1" ht="15.75" customHeight="1" x14ac:dyDescent="0.25">
      <c r="B38" s="38" t="s">
        <v>80</v>
      </c>
      <c r="C38" s="40">
        <v>1</v>
      </c>
      <c r="D38" s="40">
        <v>1</v>
      </c>
      <c r="E38" s="40">
        <v>1</v>
      </c>
      <c r="F38" s="40">
        <v>1</v>
      </c>
      <c r="G38" s="40">
        <v>1</v>
      </c>
      <c r="H38" s="40">
        <v>1</v>
      </c>
      <c r="I38" s="40">
        <v>1</v>
      </c>
      <c r="J38" s="40">
        <v>1</v>
      </c>
      <c r="K38" s="40">
        <v>1</v>
      </c>
      <c r="L38" s="40">
        <v>1</v>
      </c>
      <c r="M38" s="40">
        <v>1</v>
      </c>
      <c r="N38" s="40">
        <v>1</v>
      </c>
      <c r="O38" s="40">
        <v>1</v>
      </c>
    </row>
    <row r="39" spans="1:15" ht="15.75" customHeight="1" x14ac:dyDescent="0.25">
      <c r="B39" s="38"/>
    </row>
  </sheetData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E2" sqref="E2:E10"/>
    </sheetView>
  </sheetViews>
  <sheetFormatPr defaultColWidth="11.36328125" defaultRowHeight="12.5" x14ac:dyDescent="0.25"/>
  <cols>
    <col min="1" max="1" width="33.54296875" style="42" customWidth="1"/>
    <col min="2" max="2" width="12.36328125" style="42" customWidth="1"/>
    <col min="3" max="4" width="11.36328125" style="42"/>
    <col min="5" max="5" width="17.36328125" style="42" customWidth="1"/>
    <col min="6" max="16384" width="11.36328125" style="42"/>
  </cols>
  <sheetData>
    <row r="1" spans="1:5" ht="13" x14ac:dyDescent="0.3">
      <c r="A1" s="47" t="s">
        <v>164</v>
      </c>
      <c r="B1" s="47" t="s">
        <v>163</v>
      </c>
      <c r="C1" s="47" t="s">
        <v>162</v>
      </c>
      <c r="D1" s="47" t="s">
        <v>161</v>
      </c>
      <c r="E1" s="47" t="s">
        <v>160</v>
      </c>
    </row>
    <row r="2" spans="1:5" ht="14" x14ac:dyDescent="0.3">
      <c r="A2" s="46" t="s">
        <v>159</v>
      </c>
      <c r="B2" s="45">
        <v>0.9</v>
      </c>
      <c r="C2" s="44">
        <v>0.09</v>
      </c>
      <c r="D2" s="42">
        <v>0.8</v>
      </c>
      <c r="E2" s="42">
        <f t="shared" ref="E2:E10" si="0">C2*D2</f>
        <v>7.1999999999999995E-2</v>
      </c>
    </row>
    <row r="3" spans="1:5" ht="14" x14ac:dyDescent="0.3">
      <c r="A3" s="46" t="s">
        <v>158</v>
      </c>
      <c r="B3" s="45">
        <v>1</v>
      </c>
      <c r="C3" s="44">
        <v>0.02</v>
      </c>
      <c r="D3" s="42">
        <v>1.9</v>
      </c>
      <c r="E3" s="42">
        <f t="shared" si="0"/>
        <v>3.7999999999999999E-2</v>
      </c>
    </row>
    <row r="4" spans="1:5" ht="14" x14ac:dyDescent="0.3">
      <c r="A4" s="46" t="s">
        <v>157</v>
      </c>
      <c r="B4" s="45">
        <v>1</v>
      </c>
      <c r="C4" s="44">
        <v>0.08</v>
      </c>
      <c r="D4" s="42">
        <v>2</v>
      </c>
      <c r="E4" s="42">
        <f t="shared" si="0"/>
        <v>0.16</v>
      </c>
    </row>
    <row r="5" spans="1:5" ht="14" x14ac:dyDescent="0.3">
      <c r="A5" s="46" t="s">
        <v>156</v>
      </c>
      <c r="B5" s="45">
        <v>1</v>
      </c>
      <c r="C5" s="44">
        <v>0.18</v>
      </c>
      <c r="D5" s="42">
        <v>0.7</v>
      </c>
      <c r="E5" s="42">
        <f t="shared" si="0"/>
        <v>0.126</v>
      </c>
    </row>
    <row r="6" spans="1:5" ht="14" x14ac:dyDescent="0.3">
      <c r="A6" s="46" t="s">
        <v>155</v>
      </c>
      <c r="B6" s="45">
        <v>1</v>
      </c>
      <c r="C6" s="44">
        <v>0.02</v>
      </c>
      <c r="D6" s="42">
        <v>0.7</v>
      </c>
      <c r="E6" s="42">
        <f t="shared" si="0"/>
        <v>1.3999999999999999E-2</v>
      </c>
    </row>
    <row r="7" spans="1:5" ht="14" x14ac:dyDescent="0.3">
      <c r="A7" s="46" t="s">
        <v>154</v>
      </c>
      <c r="B7" s="45">
        <v>0.93</v>
      </c>
      <c r="C7" s="44">
        <v>0.45</v>
      </c>
      <c r="D7" s="42">
        <v>0.9</v>
      </c>
      <c r="E7" s="42">
        <f t="shared" si="0"/>
        <v>0.40500000000000003</v>
      </c>
    </row>
    <row r="8" spans="1:5" ht="14" x14ac:dyDescent="0.3">
      <c r="A8" s="46" t="s">
        <v>153</v>
      </c>
      <c r="B8" s="45">
        <v>0.5</v>
      </c>
      <c r="C8" s="44">
        <v>0.03</v>
      </c>
      <c r="D8" s="42">
        <v>0</v>
      </c>
      <c r="E8" s="42">
        <f t="shared" si="0"/>
        <v>0</v>
      </c>
    </row>
    <row r="9" spans="1:5" ht="14" x14ac:dyDescent="0.3">
      <c r="A9" s="46" t="s">
        <v>152</v>
      </c>
      <c r="B9" s="45">
        <v>0.5</v>
      </c>
      <c r="C9" s="44">
        <v>0.11</v>
      </c>
      <c r="D9" s="42">
        <v>0</v>
      </c>
      <c r="E9" s="42">
        <f t="shared" si="0"/>
        <v>0</v>
      </c>
    </row>
    <row r="10" spans="1:5" ht="14" x14ac:dyDescent="0.3">
      <c r="A10" s="46" t="s">
        <v>151</v>
      </c>
      <c r="B10" s="45">
        <v>0.98</v>
      </c>
      <c r="C10" s="44">
        <v>0.01</v>
      </c>
      <c r="D10" s="42">
        <v>0.6</v>
      </c>
      <c r="E10" s="42">
        <f t="shared" si="0"/>
        <v>6.0000000000000001E-3</v>
      </c>
    </row>
    <row r="11" spans="1:5" x14ac:dyDescent="0.25">
      <c r="C11" s="43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J40"/>
  <sheetViews>
    <sheetView zoomScaleNormal="100" workbookViewId="0">
      <selection sqref="A1:G17"/>
    </sheetView>
  </sheetViews>
  <sheetFormatPr defaultColWidth="14.36328125" defaultRowHeight="15.75" customHeight="1" x14ac:dyDescent="0.25"/>
  <cols>
    <col min="1" max="1" width="8.36328125" style="15" customWidth="1"/>
    <col min="2" max="10" width="16.81640625" style="15" customWidth="1"/>
    <col min="11" max="16384" width="14.36328125" style="15"/>
  </cols>
  <sheetData>
    <row r="1" spans="1:10" s="23" customFormat="1" ht="30" customHeight="1" x14ac:dyDescent="0.3">
      <c r="A1" s="35" t="s">
        <v>0</v>
      </c>
      <c r="B1" s="29" t="s">
        <v>112</v>
      </c>
      <c r="C1" s="26" t="s">
        <v>113</v>
      </c>
      <c r="D1" s="26" t="s">
        <v>49</v>
      </c>
      <c r="E1" s="26" t="s">
        <v>50</v>
      </c>
      <c r="F1" s="26" t="s">
        <v>51</v>
      </c>
      <c r="G1" s="26" t="s">
        <v>52</v>
      </c>
      <c r="H1" s="26" t="s">
        <v>114</v>
      </c>
      <c r="I1" s="26" t="s">
        <v>131</v>
      </c>
      <c r="J1" s="26" t="s">
        <v>36</v>
      </c>
    </row>
    <row r="2" spans="1:10" ht="15.75" customHeight="1" x14ac:dyDescent="0.25">
      <c r="A2" s="9">
        <v>2015</v>
      </c>
      <c r="B2" s="80">
        <v>52536.6</v>
      </c>
      <c r="C2" s="81">
        <v>231000</v>
      </c>
      <c r="D2" s="81">
        <v>69000</v>
      </c>
      <c r="E2" s="81">
        <v>100000</v>
      </c>
      <c r="F2" s="81">
        <v>75000</v>
      </c>
      <c r="G2" s="81">
        <v>45000</v>
      </c>
      <c r="H2" s="25">
        <f t="shared" ref="H2:H40" si="0">D2+E2+F2+G2</f>
        <v>289000</v>
      </c>
      <c r="I2" s="25">
        <f>(B2 + stillbirth*B2/(1000-stillbirth))/(1-abortion)</f>
        <v>62079.81305369849</v>
      </c>
      <c r="J2" s="25">
        <f>H2-I2</f>
        <v>226920.18694630152</v>
      </c>
    </row>
    <row r="3" spans="1:10" ht="15.75" customHeight="1" x14ac:dyDescent="0.25">
      <c r="A3" s="9">
        <v>2016</v>
      </c>
      <c r="B3" s="80">
        <v>53927.407159376991</v>
      </c>
      <c r="C3" s="81">
        <v>236799.6641441976</v>
      </c>
      <c r="D3" s="81">
        <v>71664.597283244759</v>
      </c>
      <c r="E3" s="81">
        <v>103270.23713283346</v>
      </c>
      <c r="F3" s="81">
        <v>77547.80364157584</v>
      </c>
      <c r="G3" s="81">
        <v>46406.833943764774</v>
      </c>
      <c r="H3" s="25">
        <f t="shared" si="0"/>
        <v>298889.47200141888</v>
      </c>
      <c r="I3" s="25">
        <f t="shared" ref="I3:I40" si="1">(B3 + stillbirth*B3/(1000-stillbirth))/(1-abortion)</f>
        <v>63723.258736286807</v>
      </c>
      <c r="J3" s="25">
        <f t="shared" ref="J3:J15" si="2">H3-I3</f>
        <v>235166.21326513207</v>
      </c>
    </row>
    <row r="4" spans="1:10" ht="15.75" customHeight="1" x14ac:dyDescent="0.25">
      <c r="A4" s="9">
        <v>2017</v>
      </c>
      <c r="B4" s="80">
        <v>55355.033308840408</v>
      </c>
      <c r="C4" s="81">
        <v>242744.93912902501</v>
      </c>
      <c r="D4" s="81">
        <v>74432.094257531193</v>
      </c>
      <c r="E4" s="81">
        <v>106647.41877471654</v>
      </c>
      <c r="F4" s="81">
        <v>80182.157995098707</v>
      </c>
      <c r="G4" s="81">
        <v>47857.649704092408</v>
      </c>
      <c r="H4" s="25">
        <f t="shared" si="0"/>
        <v>309119.32073143881</v>
      </c>
      <c r="I4" s="25">
        <f t="shared" si="1"/>
        <v>65410.211536225521</v>
      </c>
      <c r="J4" s="25">
        <f t="shared" si="2"/>
        <v>243709.1091952133</v>
      </c>
    </row>
    <row r="5" spans="1:10" ht="15.75" customHeight="1" x14ac:dyDescent="0.25">
      <c r="A5" s="9">
        <v>2018</v>
      </c>
      <c r="B5" s="80">
        <v>56820.45316154285</v>
      </c>
      <c r="C5" s="81">
        <v>248839.48077254029</v>
      </c>
      <c r="D5" s="81">
        <v>77306.464636441859</v>
      </c>
      <c r="E5" s="81">
        <v>110135.04226469572</v>
      </c>
      <c r="F5" s="81">
        <v>82906.003250156326</v>
      </c>
      <c r="G5" s="81">
        <v>49353.822283481772</v>
      </c>
      <c r="H5" s="25">
        <f t="shared" si="0"/>
        <v>319701.33243477572</v>
      </c>
      <c r="I5" s="25">
        <f t="shared" si="1"/>
        <v>67141.82322219199</v>
      </c>
      <c r="J5" s="25">
        <f t="shared" si="2"/>
        <v>252559.50921258371</v>
      </c>
    </row>
    <row r="6" spans="1:10" ht="15.75" customHeight="1" x14ac:dyDescent="0.25">
      <c r="A6" s="9">
        <v>2019</v>
      </c>
      <c r="B6" s="80">
        <v>58244.156779723184</v>
      </c>
      <c r="C6" s="81">
        <v>255004.6966438099</v>
      </c>
      <c r="D6" s="81">
        <v>80310.86019104271</v>
      </c>
      <c r="E6" s="81">
        <v>113796.96049509458</v>
      </c>
      <c r="F6" s="81">
        <v>85741.871221887312</v>
      </c>
      <c r="G6" s="81">
        <v>50976.744004611784</v>
      </c>
      <c r="H6" s="25">
        <f t="shared" si="0"/>
        <v>330826.4359126364</v>
      </c>
      <c r="I6" s="25">
        <f t="shared" si="1"/>
        <v>68824.140967544939</v>
      </c>
      <c r="J6" s="25">
        <f t="shared" si="2"/>
        <v>262002.29494509147</v>
      </c>
    </row>
    <row r="7" spans="1:10" ht="15.75" customHeight="1" x14ac:dyDescent="0.25">
      <c r="A7" s="9">
        <v>2020</v>
      </c>
      <c r="B7" s="80">
        <v>59642.398536832661</v>
      </c>
      <c r="C7" s="81">
        <v>261275.3437446164</v>
      </c>
      <c r="D7" s="81">
        <v>83436.194867733197</v>
      </c>
      <c r="E7" s="81">
        <v>117667.27716476077</v>
      </c>
      <c r="F7" s="81">
        <v>88672.902182579521</v>
      </c>
      <c r="G7" s="81">
        <v>52857.358676931392</v>
      </c>
      <c r="H7" s="25">
        <f t="shared" si="0"/>
        <v>342633.73289200489</v>
      </c>
      <c r="I7" s="25">
        <f t="shared" si="1"/>
        <v>70476.371734005486</v>
      </c>
      <c r="J7" s="25">
        <f t="shared" si="2"/>
        <v>272157.36115799937</v>
      </c>
    </row>
    <row r="8" spans="1:10" ht="15.75" customHeight="1" x14ac:dyDescent="0.25">
      <c r="A8" s="9">
        <v>2021</v>
      </c>
      <c r="B8" s="80">
        <v>61151.312965528872</v>
      </c>
      <c r="C8" s="81">
        <v>267561.53784955834</v>
      </c>
      <c r="D8" s="81">
        <v>86664.778530721334</v>
      </c>
      <c r="E8" s="81">
        <v>121768.28051782311</v>
      </c>
      <c r="F8" s="81">
        <v>91692.174196609791</v>
      </c>
      <c r="G8" s="81">
        <v>54657.078464777791</v>
      </c>
      <c r="H8" s="25">
        <f t="shared" si="0"/>
        <v>354782.31170993205</v>
      </c>
      <c r="I8" s="25">
        <f t="shared" si="1"/>
        <v>72259.378735743114</v>
      </c>
      <c r="J8" s="25">
        <f t="shared" si="2"/>
        <v>282522.93297418894</v>
      </c>
    </row>
    <row r="9" spans="1:10" ht="15.75" customHeight="1" x14ac:dyDescent="0.25">
      <c r="A9" s="9">
        <v>2022</v>
      </c>
      <c r="B9" s="80">
        <v>62641.795798972082</v>
      </c>
      <c r="C9" s="81">
        <v>274317.44043018739</v>
      </c>
      <c r="D9" s="81">
        <v>89987.418021649006</v>
      </c>
      <c r="E9" s="81">
        <v>126100.27265397605</v>
      </c>
      <c r="F9" s="81">
        <v>94797.470791153886</v>
      </c>
      <c r="G9" s="81">
        <v>56537.581491949277</v>
      </c>
      <c r="H9" s="25">
        <f t="shared" si="0"/>
        <v>367422.74295872822</v>
      </c>
      <c r="I9" s="25">
        <f t="shared" si="1"/>
        <v>74020.606064118023</v>
      </c>
      <c r="J9" s="25">
        <f t="shared" si="2"/>
        <v>293402.13689461019</v>
      </c>
    </row>
    <row r="10" spans="1:10" ht="15.75" customHeight="1" x14ac:dyDescent="0.25">
      <c r="A10" s="9">
        <v>2023</v>
      </c>
      <c r="B10" s="80">
        <v>64162.709877598558</v>
      </c>
      <c r="C10" s="81">
        <v>281075.28224267554</v>
      </c>
      <c r="D10" s="81">
        <v>93379.229335174081</v>
      </c>
      <c r="E10" s="81">
        <v>130684.6187349485</v>
      </c>
      <c r="F10" s="81">
        <v>97978.254636391765</v>
      </c>
      <c r="G10" s="81">
        <v>58502.073569127839</v>
      </c>
      <c r="H10" s="25">
        <f t="shared" si="0"/>
        <v>380544.17627564218</v>
      </c>
      <c r="I10" s="25">
        <f t="shared" si="1"/>
        <v>75817.792438414603</v>
      </c>
      <c r="J10" s="25">
        <f t="shared" si="2"/>
        <v>304726.38383722759</v>
      </c>
    </row>
    <row r="11" spans="1:10" ht="15.75" customHeight="1" x14ac:dyDescent="0.25">
      <c r="A11" s="9">
        <v>2024</v>
      </c>
      <c r="B11" s="80">
        <v>65809.720000575311</v>
      </c>
      <c r="C11" s="81">
        <v>288037.8207514034</v>
      </c>
      <c r="D11" s="81">
        <v>96814.543031065579</v>
      </c>
      <c r="E11" s="81">
        <v>135544.44617068736</v>
      </c>
      <c r="F11" s="81">
        <v>101234.45306108326</v>
      </c>
      <c r="G11" s="81">
        <v>60550.522797699734</v>
      </c>
      <c r="H11" s="25">
        <f t="shared" si="0"/>
        <v>394143.96506053593</v>
      </c>
      <c r="I11" s="25">
        <f t="shared" si="1"/>
        <v>77763.980058701127</v>
      </c>
      <c r="J11" s="25">
        <f t="shared" si="2"/>
        <v>316379.98500183481</v>
      </c>
    </row>
    <row r="12" spans="1:10" ht="15.75" customHeight="1" x14ac:dyDescent="0.25">
      <c r="A12" s="9">
        <v>2025</v>
      </c>
      <c r="B12" s="80">
        <v>67519.1715152252</v>
      </c>
      <c r="C12" s="81">
        <v>295283.2550667238</v>
      </c>
      <c r="D12" s="81">
        <v>100277.75751630409</v>
      </c>
      <c r="E12" s="81">
        <v>140692.57741489317</v>
      </c>
      <c r="F12" s="81">
        <v>104586.10515969656</v>
      </c>
      <c r="G12" s="81">
        <v>62674.188957497114</v>
      </c>
      <c r="H12" s="25">
        <f t="shared" si="0"/>
        <v>408230.62904839095</v>
      </c>
      <c r="I12" s="25">
        <f t="shared" si="1"/>
        <v>79783.951477746654</v>
      </c>
      <c r="J12" s="25">
        <f t="shared" si="2"/>
        <v>328446.6775706443</v>
      </c>
    </row>
    <row r="13" spans="1:10" ht="15.75" customHeight="1" x14ac:dyDescent="0.25">
      <c r="A13" s="9">
        <v>2026</v>
      </c>
      <c r="B13" s="80">
        <v>69183.00109212083</v>
      </c>
      <c r="C13" s="81">
        <v>302640.76703872217</v>
      </c>
      <c r="D13" s="81">
        <v>103740.38292537598</v>
      </c>
      <c r="E13" s="81">
        <v>146099.74236383059</v>
      </c>
      <c r="F13" s="81">
        <v>108038.42509371156</v>
      </c>
      <c r="G13" s="81">
        <v>64866.293593097835</v>
      </c>
      <c r="H13" s="25">
        <f t="shared" si="0"/>
        <v>422744.84397601592</v>
      </c>
      <c r="I13" s="25">
        <f t="shared" si="1"/>
        <v>81750.013786439929</v>
      </c>
      <c r="J13" s="25">
        <f t="shared" si="2"/>
        <v>340994.83018957602</v>
      </c>
    </row>
    <row r="14" spans="1:10" ht="15.75" customHeight="1" x14ac:dyDescent="0.25">
      <c r="A14" s="9">
        <v>2027</v>
      </c>
      <c r="B14" s="80">
        <v>71050.824717830925</v>
      </c>
      <c r="C14" s="81">
        <v>310344.98714771989</v>
      </c>
      <c r="D14" s="81">
        <v>107191.61952855957</v>
      </c>
      <c r="E14" s="81">
        <v>151740.36324336386</v>
      </c>
      <c r="F14" s="81">
        <v>111616.57528002621</v>
      </c>
      <c r="G14" s="81">
        <v>67137.809827632329</v>
      </c>
      <c r="H14" s="25">
        <f t="shared" si="0"/>
        <v>437686.36787958193</v>
      </c>
      <c r="I14" s="25">
        <f t="shared" si="1"/>
        <v>83957.125428635351</v>
      </c>
      <c r="J14" s="25">
        <f t="shared" si="2"/>
        <v>353729.24245094659</v>
      </c>
    </row>
    <row r="15" spans="1:10" ht="15.75" customHeight="1" x14ac:dyDescent="0.25">
      <c r="A15" s="9">
        <v>2028</v>
      </c>
      <c r="B15" s="80">
        <v>72788.497015834801</v>
      </c>
      <c r="C15" s="81">
        <v>318246.67741372163</v>
      </c>
      <c r="D15" s="81">
        <v>110622.27416749677</v>
      </c>
      <c r="E15" s="81">
        <v>157575.15030988946</v>
      </c>
      <c r="F15" s="81">
        <v>115348.98834134468</v>
      </c>
      <c r="G15" s="81">
        <v>69494.957890782083</v>
      </c>
      <c r="H15" s="25">
        <f t="shared" si="0"/>
        <v>453041.37070951302</v>
      </c>
      <c r="I15" s="25">
        <f t="shared" si="1"/>
        <v>86010.443903920604</v>
      </c>
      <c r="J15" s="25">
        <f t="shared" si="2"/>
        <v>367030.92680559243</v>
      </c>
    </row>
    <row r="16" spans="1:10" ht="15.75" customHeight="1" x14ac:dyDescent="0.25">
      <c r="A16" s="9">
        <v>2029</v>
      </c>
      <c r="B16" s="8">
        <v>74616.183308329404</v>
      </c>
      <c r="C16" s="24">
        <v>326323.66098008206</v>
      </c>
      <c r="D16" s="24">
        <v>114021.38645532954</v>
      </c>
      <c r="E16" s="24">
        <v>163571.91316262502</v>
      </c>
      <c r="F16" s="24">
        <v>119266.31337319531</v>
      </c>
      <c r="G16" s="24">
        <v>71941.757007879787</v>
      </c>
      <c r="H16" s="25">
        <f t="shared" si="0"/>
        <v>468801.36999902962</v>
      </c>
      <c r="I16" s="25">
        <f t="shared" si="1"/>
        <v>88170.127312418146</v>
      </c>
      <c r="J16" s="25">
        <f t="shared" ref="J16:J40" si="3">H16-I16</f>
        <v>380631.24268661148</v>
      </c>
    </row>
    <row r="17" spans="1:10" ht="15.75" customHeight="1" x14ac:dyDescent="0.25">
      <c r="A17" s="9">
        <v>2030</v>
      </c>
      <c r="B17" s="8">
        <v>77207.193592509793</v>
      </c>
      <c r="C17" s="24">
        <v>335241.11094910814</v>
      </c>
      <c r="D17" s="24">
        <v>117342.97274947444</v>
      </c>
      <c r="E17" s="24">
        <v>169709.16915662715</v>
      </c>
      <c r="F17" s="24">
        <v>123406.23041358989</v>
      </c>
      <c r="G17" s="24">
        <v>74471.396824889525</v>
      </c>
      <c r="H17" s="25">
        <f t="shared" si="0"/>
        <v>484929.76914458099</v>
      </c>
      <c r="I17" s="25">
        <f t="shared" si="1"/>
        <v>91231.791639042436</v>
      </c>
      <c r="J17" s="25">
        <f t="shared" si="3"/>
        <v>393697.97750553855</v>
      </c>
    </row>
    <row r="18" spans="1:10" ht="15.75" customHeight="1" x14ac:dyDescent="0.25">
      <c r="A18" s="9" t="str">
        <f t="shared" ref="A3:A40" si="4">IF($A$2+ROW(A18)-2&lt;=end_year,A17+1,"")</f>
        <v/>
      </c>
      <c r="B18" s="8"/>
      <c r="C18" s="24"/>
      <c r="D18" s="24"/>
      <c r="E18" s="24"/>
      <c r="F18" s="24"/>
      <c r="G18" s="24"/>
      <c r="H18" s="25">
        <f t="shared" si="0"/>
        <v>0</v>
      </c>
      <c r="I18" s="25">
        <f t="shared" si="1"/>
        <v>0</v>
      </c>
      <c r="J18" s="25">
        <f t="shared" si="3"/>
        <v>0</v>
      </c>
    </row>
    <row r="19" spans="1:10" ht="15.75" customHeight="1" x14ac:dyDescent="0.25">
      <c r="A19" s="9" t="str">
        <f t="shared" si="4"/>
        <v/>
      </c>
      <c r="B19" s="8"/>
      <c r="C19" s="24"/>
      <c r="D19" s="24"/>
      <c r="E19" s="24"/>
      <c r="F19" s="24"/>
      <c r="G19" s="24"/>
      <c r="H19" s="25">
        <f t="shared" si="0"/>
        <v>0</v>
      </c>
      <c r="I19" s="25">
        <f t="shared" si="1"/>
        <v>0</v>
      </c>
      <c r="J19" s="25">
        <f t="shared" si="3"/>
        <v>0</v>
      </c>
    </row>
    <row r="20" spans="1:10" ht="15.75" customHeight="1" x14ac:dyDescent="0.25">
      <c r="A20" s="9" t="str">
        <f t="shared" si="4"/>
        <v/>
      </c>
      <c r="B20" s="8"/>
      <c r="C20" s="24"/>
      <c r="D20" s="24"/>
      <c r="E20" s="24"/>
      <c r="F20" s="24"/>
      <c r="G20" s="24"/>
      <c r="H20" s="25">
        <f t="shared" si="0"/>
        <v>0</v>
      </c>
      <c r="I20" s="25">
        <f t="shared" si="1"/>
        <v>0</v>
      </c>
      <c r="J20" s="25">
        <f t="shared" si="3"/>
        <v>0</v>
      </c>
    </row>
    <row r="21" spans="1:10" ht="15.75" customHeight="1" x14ac:dyDescent="0.25">
      <c r="A21" s="9" t="str">
        <f t="shared" si="4"/>
        <v/>
      </c>
      <c r="B21" s="8"/>
      <c r="C21" s="24"/>
      <c r="D21" s="24"/>
      <c r="E21" s="24"/>
      <c r="F21" s="24"/>
      <c r="G21" s="24"/>
      <c r="H21" s="25">
        <f t="shared" si="0"/>
        <v>0</v>
      </c>
      <c r="I21" s="25">
        <f t="shared" si="1"/>
        <v>0</v>
      </c>
      <c r="J21" s="25">
        <f t="shared" si="3"/>
        <v>0</v>
      </c>
    </row>
    <row r="22" spans="1:10" ht="15.75" customHeight="1" x14ac:dyDescent="0.25">
      <c r="A22" s="9" t="str">
        <f t="shared" si="4"/>
        <v/>
      </c>
      <c r="B22" s="8"/>
      <c r="C22" s="24"/>
      <c r="D22" s="24"/>
      <c r="E22" s="24"/>
      <c r="F22" s="24"/>
      <c r="G22" s="24"/>
      <c r="H22" s="25">
        <f t="shared" si="0"/>
        <v>0</v>
      </c>
      <c r="I22" s="25">
        <f t="shared" si="1"/>
        <v>0</v>
      </c>
      <c r="J22" s="25">
        <f t="shared" si="3"/>
        <v>0</v>
      </c>
    </row>
    <row r="23" spans="1:10" ht="15.75" customHeight="1" x14ac:dyDescent="0.25">
      <c r="A23" s="9" t="str">
        <f t="shared" si="4"/>
        <v/>
      </c>
      <c r="B23" s="8"/>
      <c r="C23" s="24"/>
      <c r="D23" s="24"/>
      <c r="E23" s="24"/>
      <c r="F23" s="24"/>
      <c r="G23" s="24"/>
      <c r="H23" s="25">
        <f t="shared" si="0"/>
        <v>0</v>
      </c>
      <c r="I23" s="25">
        <f t="shared" si="1"/>
        <v>0</v>
      </c>
      <c r="J23" s="25">
        <f t="shared" si="3"/>
        <v>0</v>
      </c>
    </row>
    <row r="24" spans="1:10" ht="15.75" customHeight="1" x14ac:dyDescent="0.25">
      <c r="A24" s="9" t="str">
        <f t="shared" si="4"/>
        <v/>
      </c>
      <c r="B24" s="8"/>
      <c r="C24" s="24"/>
      <c r="D24" s="24"/>
      <c r="E24" s="24"/>
      <c r="F24" s="24"/>
      <c r="G24" s="24"/>
      <c r="H24" s="25">
        <f t="shared" si="0"/>
        <v>0</v>
      </c>
      <c r="I24" s="25">
        <f t="shared" si="1"/>
        <v>0</v>
      </c>
      <c r="J24" s="25">
        <f t="shared" si="3"/>
        <v>0</v>
      </c>
    </row>
    <row r="25" spans="1:10" ht="15.75" customHeight="1" x14ac:dyDescent="0.25">
      <c r="A25" s="9" t="str">
        <f t="shared" si="4"/>
        <v/>
      </c>
      <c r="B25" s="8"/>
      <c r="C25" s="24"/>
      <c r="D25" s="24"/>
      <c r="E25" s="24"/>
      <c r="F25" s="24"/>
      <c r="G25" s="24"/>
      <c r="H25" s="25">
        <f t="shared" si="0"/>
        <v>0</v>
      </c>
      <c r="I25" s="25">
        <f t="shared" si="1"/>
        <v>0</v>
      </c>
      <c r="J25" s="25">
        <f t="shared" si="3"/>
        <v>0</v>
      </c>
    </row>
    <row r="26" spans="1:10" ht="15.75" customHeight="1" x14ac:dyDescent="0.25">
      <c r="A26" s="9" t="str">
        <f t="shared" si="4"/>
        <v/>
      </c>
      <c r="B26" s="8"/>
      <c r="C26" s="24"/>
      <c r="D26" s="24"/>
      <c r="E26" s="24"/>
      <c r="F26" s="24"/>
      <c r="G26" s="24"/>
      <c r="H26" s="25">
        <f t="shared" si="0"/>
        <v>0</v>
      </c>
      <c r="I26" s="25">
        <f t="shared" si="1"/>
        <v>0</v>
      </c>
      <c r="J26" s="25">
        <f t="shared" si="3"/>
        <v>0</v>
      </c>
    </row>
    <row r="27" spans="1:10" ht="15.75" customHeight="1" x14ac:dyDescent="0.25">
      <c r="A27" s="9" t="str">
        <f t="shared" si="4"/>
        <v/>
      </c>
      <c r="B27" s="8"/>
      <c r="C27" s="24"/>
      <c r="D27" s="24"/>
      <c r="E27" s="24"/>
      <c r="F27" s="24"/>
      <c r="G27" s="24"/>
      <c r="H27" s="25">
        <f t="shared" si="0"/>
        <v>0</v>
      </c>
      <c r="I27" s="25">
        <f t="shared" si="1"/>
        <v>0</v>
      </c>
      <c r="J27" s="25">
        <f t="shared" si="3"/>
        <v>0</v>
      </c>
    </row>
    <row r="28" spans="1:10" ht="15.75" customHeight="1" x14ac:dyDescent="0.25">
      <c r="A28" s="9" t="str">
        <f t="shared" si="4"/>
        <v/>
      </c>
      <c r="B28" s="8"/>
      <c r="C28" s="24"/>
      <c r="D28" s="24"/>
      <c r="E28" s="24"/>
      <c r="F28" s="24"/>
      <c r="G28" s="24"/>
      <c r="H28" s="25">
        <f t="shared" si="0"/>
        <v>0</v>
      </c>
      <c r="I28" s="25">
        <f t="shared" si="1"/>
        <v>0</v>
      </c>
      <c r="J28" s="25">
        <f t="shared" si="3"/>
        <v>0</v>
      </c>
    </row>
    <row r="29" spans="1:10" ht="15.75" customHeight="1" x14ac:dyDescent="0.25">
      <c r="A29" s="9" t="str">
        <f t="shared" si="4"/>
        <v/>
      </c>
      <c r="B29" s="8"/>
      <c r="C29" s="24"/>
      <c r="D29" s="24"/>
      <c r="E29" s="24"/>
      <c r="F29" s="24"/>
      <c r="G29" s="24"/>
      <c r="H29" s="25">
        <f t="shared" si="0"/>
        <v>0</v>
      </c>
      <c r="I29" s="25">
        <f t="shared" si="1"/>
        <v>0</v>
      </c>
      <c r="J29" s="25">
        <f t="shared" si="3"/>
        <v>0</v>
      </c>
    </row>
    <row r="30" spans="1:10" ht="15.75" customHeight="1" x14ac:dyDescent="0.25">
      <c r="A30" s="9" t="str">
        <f t="shared" si="4"/>
        <v/>
      </c>
      <c r="B30" s="8"/>
      <c r="C30" s="24"/>
      <c r="D30" s="24"/>
      <c r="E30" s="24"/>
      <c r="F30" s="24"/>
      <c r="G30" s="24"/>
      <c r="H30" s="25">
        <f t="shared" si="0"/>
        <v>0</v>
      </c>
      <c r="I30" s="25">
        <f t="shared" si="1"/>
        <v>0</v>
      </c>
      <c r="J30" s="25">
        <f t="shared" si="3"/>
        <v>0</v>
      </c>
    </row>
    <row r="31" spans="1:10" ht="15.75" customHeight="1" x14ac:dyDescent="0.25">
      <c r="A31" s="9" t="str">
        <f t="shared" si="4"/>
        <v/>
      </c>
      <c r="B31" s="8"/>
      <c r="C31" s="24"/>
      <c r="D31" s="24"/>
      <c r="E31" s="24"/>
      <c r="F31" s="24"/>
      <c r="G31" s="24"/>
      <c r="H31" s="25">
        <f t="shared" si="0"/>
        <v>0</v>
      </c>
      <c r="I31" s="25">
        <f t="shared" si="1"/>
        <v>0</v>
      </c>
      <c r="J31" s="25">
        <f t="shared" si="3"/>
        <v>0</v>
      </c>
    </row>
    <row r="32" spans="1:10" ht="15.75" customHeight="1" x14ac:dyDescent="0.25">
      <c r="A32" s="9" t="str">
        <f t="shared" si="4"/>
        <v/>
      </c>
      <c r="B32" s="8"/>
      <c r="C32" s="24"/>
      <c r="D32" s="24"/>
      <c r="E32" s="24"/>
      <c r="F32" s="24"/>
      <c r="G32" s="24"/>
      <c r="H32" s="25">
        <f t="shared" si="0"/>
        <v>0</v>
      </c>
      <c r="I32" s="25">
        <f t="shared" si="1"/>
        <v>0</v>
      </c>
      <c r="J32" s="25">
        <f t="shared" si="3"/>
        <v>0</v>
      </c>
    </row>
    <row r="33" spans="1:10" ht="15.75" customHeight="1" x14ac:dyDescent="0.25">
      <c r="A33" s="9" t="str">
        <f t="shared" si="4"/>
        <v/>
      </c>
      <c r="B33" s="8"/>
      <c r="C33" s="24"/>
      <c r="D33" s="24"/>
      <c r="E33" s="24"/>
      <c r="F33" s="24"/>
      <c r="G33" s="24"/>
      <c r="H33" s="25">
        <f t="shared" si="0"/>
        <v>0</v>
      </c>
      <c r="I33" s="25">
        <f t="shared" si="1"/>
        <v>0</v>
      </c>
      <c r="J33" s="25">
        <f t="shared" si="3"/>
        <v>0</v>
      </c>
    </row>
    <row r="34" spans="1:10" ht="15.75" customHeight="1" x14ac:dyDescent="0.25">
      <c r="A34" s="9" t="str">
        <f t="shared" si="4"/>
        <v/>
      </c>
      <c r="B34" s="8"/>
      <c r="C34" s="24"/>
      <c r="D34" s="24"/>
      <c r="E34" s="24"/>
      <c r="F34" s="24"/>
      <c r="G34" s="24"/>
      <c r="H34" s="25">
        <f t="shared" si="0"/>
        <v>0</v>
      </c>
      <c r="I34" s="25">
        <f t="shared" si="1"/>
        <v>0</v>
      </c>
      <c r="J34" s="25">
        <f t="shared" si="3"/>
        <v>0</v>
      </c>
    </row>
    <row r="35" spans="1:10" ht="15.75" customHeight="1" x14ac:dyDescent="0.25">
      <c r="A35" s="9" t="str">
        <f t="shared" si="4"/>
        <v/>
      </c>
      <c r="B35" s="8"/>
      <c r="C35" s="24"/>
      <c r="D35" s="24"/>
      <c r="E35" s="24"/>
      <c r="F35" s="24"/>
      <c r="G35" s="24"/>
      <c r="H35" s="25">
        <f t="shared" si="0"/>
        <v>0</v>
      </c>
      <c r="I35" s="25">
        <f t="shared" si="1"/>
        <v>0</v>
      </c>
      <c r="J35" s="25">
        <f t="shared" si="3"/>
        <v>0</v>
      </c>
    </row>
    <row r="36" spans="1:10" ht="15.75" customHeight="1" x14ac:dyDescent="0.25">
      <c r="A36" s="9" t="str">
        <f t="shared" si="4"/>
        <v/>
      </c>
      <c r="B36" s="8"/>
      <c r="C36" s="24"/>
      <c r="D36" s="24"/>
      <c r="E36" s="24"/>
      <c r="F36" s="24"/>
      <c r="G36" s="24"/>
      <c r="H36" s="25">
        <f t="shared" si="0"/>
        <v>0</v>
      </c>
      <c r="I36" s="25">
        <f t="shared" si="1"/>
        <v>0</v>
      </c>
      <c r="J36" s="25">
        <f t="shared" si="3"/>
        <v>0</v>
      </c>
    </row>
    <row r="37" spans="1:10" ht="15.75" customHeight="1" x14ac:dyDescent="0.25">
      <c r="A37" s="9" t="str">
        <f t="shared" si="4"/>
        <v/>
      </c>
      <c r="B37" s="8"/>
      <c r="C37" s="24"/>
      <c r="D37" s="24"/>
      <c r="E37" s="24"/>
      <c r="F37" s="24"/>
      <c r="G37" s="24"/>
      <c r="H37" s="25">
        <f t="shared" si="0"/>
        <v>0</v>
      </c>
      <c r="I37" s="25">
        <f t="shared" si="1"/>
        <v>0</v>
      </c>
      <c r="J37" s="25">
        <f t="shared" si="3"/>
        <v>0</v>
      </c>
    </row>
    <row r="38" spans="1:10" ht="15.75" customHeight="1" x14ac:dyDescent="0.25">
      <c r="A38" s="9" t="str">
        <f t="shared" si="4"/>
        <v/>
      </c>
      <c r="B38" s="8"/>
      <c r="C38" s="24"/>
      <c r="D38" s="24"/>
      <c r="E38" s="24"/>
      <c r="F38" s="24"/>
      <c r="G38" s="24"/>
      <c r="H38" s="25">
        <f t="shared" si="0"/>
        <v>0</v>
      </c>
      <c r="I38" s="25">
        <f t="shared" si="1"/>
        <v>0</v>
      </c>
      <c r="J38" s="25">
        <f t="shared" si="3"/>
        <v>0</v>
      </c>
    </row>
    <row r="39" spans="1:10" ht="15.75" customHeight="1" x14ac:dyDescent="0.25">
      <c r="A39" s="9" t="str">
        <f t="shared" si="4"/>
        <v/>
      </c>
      <c r="B39" s="8"/>
      <c r="C39" s="24"/>
      <c r="D39" s="24"/>
      <c r="E39" s="24"/>
      <c r="F39" s="24"/>
      <c r="G39" s="24"/>
      <c r="H39" s="25">
        <f t="shared" si="0"/>
        <v>0</v>
      </c>
      <c r="I39" s="25">
        <f t="shared" si="1"/>
        <v>0</v>
      </c>
      <c r="J39" s="25">
        <f t="shared" si="3"/>
        <v>0</v>
      </c>
    </row>
    <row r="40" spans="1:10" ht="15.75" customHeight="1" x14ac:dyDescent="0.25">
      <c r="A40" s="9" t="str">
        <f t="shared" si="4"/>
        <v/>
      </c>
      <c r="B40" s="8"/>
      <c r="C40" s="24"/>
      <c r="D40" s="24"/>
      <c r="E40" s="24"/>
      <c r="F40" s="24"/>
      <c r="G40" s="24"/>
      <c r="H40" s="25">
        <f t="shared" si="0"/>
        <v>0</v>
      </c>
      <c r="I40" s="25">
        <f t="shared" si="1"/>
        <v>0</v>
      </c>
      <c r="J40" s="25">
        <f t="shared" si="3"/>
        <v>0</v>
      </c>
    </row>
  </sheetData>
  <conditionalFormatting sqref="B16:J40 H2:J15">
    <cfRule type="expression" dxfId="1" priority="10">
      <formula>$A2=""</formula>
    </cfRule>
  </conditionalFormatting>
  <conditionalFormatting sqref="B2:G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27"/>
  <sheetViews>
    <sheetView zoomScale="60" zoomScaleNormal="60" workbookViewId="0">
      <selection activeCell="K21" sqref="K21"/>
    </sheetView>
  </sheetViews>
  <sheetFormatPr defaultColWidth="14.36328125" defaultRowHeight="15.75" customHeight="1" x14ac:dyDescent="0.25"/>
  <cols>
    <col min="1" max="1" width="31.36328125" customWidth="1"/>
    <col min="2" max="7" width="13" customWidth="1"/>
    <col min="8" max="8" width="42.81640625" customWidth="1"/>
  </cols>
  <sheetData>
    <row r="1" spans="1:8" ht="27.75" customHeight="1" x14ac:dyDescent="0.3">
      <c r="A1" s="11" t="str">
        <f>"Percentage of deaths in baseline year ("&amp;start_year&amp;") attributable to cause"</f>
        <v>Percentage of deaths in baseline year (2017) attributable to cause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32</v>
      </c>
      <c r="H1" s="86" t="s">
        <v>204</v>
      </c>
    </row>
    <row r="2" spans="1:8" ht="15.75" customHeight="1" x14ac:dyDescent="0.25">
      <c r="A2" s="27" t="s">
        <v>73</v>
      </c>
      <c r="B2" s="82">
        <v>4.4999999999999997E-3</v>
      </c>
      <c r="C2" s="28">
        <v>0</v>
      </c>
      <c r="D2" s="28">
        <v>0</v>
      </c>
      <c r="E2" s="28">
        <v>0</v>
      </c>
      <c r="F2" s="28">
        <v>0</v>
      </c>
      <c r="G2" s="28">
        <v>0</v>
      </c>
      <c r="H2" s="150" t="s">
        <v>206</v>
      </c>
    </row>
    <row r="3" spans="1:8" ht="15.75" customHeight="1" x14ac:dyDescent="0.25">
      <c r="A3" s="27" t="s">
        <v>7</v>
      </c>
      <c r="B3" s="82">
        <v>0.1603</v>
      </c>
      <c r="C3" s="28">
        <v>0</v>
      </c>
      <c r="D3" s="28">
        <v>0</v>
      </c>
      <c r="E3" s="28">
        <v>0</v>
      </c>
      <c r="F3" s="28">
        <v>0</v>
      </c>
      <c r="G3" s="28">
        <v>0</v>
      </c>
      <c r="H3" s="151"/>
    </row>
    <row r="4" spans="1:8" ht="15.75" customHeight="1" x14ac:dyDescent="0.25">
      <c r="A4" s="27" t="s">
        <v>8</v>
      </c>
      <c r="B4" s="82">
        <v>6.3500000000000001E-2</v>
      </c>
      <c r="C4" s="28">
        <v>0</v>
      </c>
      <c r="D4" s="28">
        <v>0</v>
      </c>
      <c r="E4" s="28">
        <v>0</v>
      </c>
      <c r="F4" s="28">
        <v>0</v>
      </c>
      <c r="G4" s="28">
        <v>0</v>
      </c>
      <c r="H4" s="151"/>
    </row>
    <row r="5" spans="1:8" ht="15.75" customHeight="1" x14ac:dyDescent="0.25">
      <c r="A5" s="27" t="s">
        <v>10</v>
      </c>
      <c r="B5" s="82">
        <v>0.28639999999999999</v>
      </c>
      <c r="C5" s="28">
        <v>0</v>
      </c>
      <c r="D5" s="28">
        <v>0</v>
      </c>
      <c r="E5" s="28">
        <v>0</v>
      </c>
      <c r="F5" s="28">
        <v>0</v>
      </c>
      <c r="G5" s="28">
        <v>0</v>
      </c>
      <c r="H5" s="151"/>
    </row>
    <row r="6" spans="1:8" ht="15.75" customHeight="1" x14ac:dyDescent="0.25">
      <c r="A6" s="27" t="s">
        <v>13</v>
      </c>
      <c r="B6" s="82">
        <v>0.34749999999999998</v>
      </c>
      <c r="C6" s="28">
        <v>0</v>
      </c>
      <c r="D6" s="28">
        <v>0</v>
      </c>
      <c r="E6" s="28">
        <v>0</v>
      </c>
      <c r="F6" s="28">
        <v>0</v>
      </c>
      <c r="G6" s="28">
        <v>0</v>
      </c>
      <c r="H6" s="151"/>
    </row>
    <row r="7" spans="1:8" ht="15.75" customHeight="1" x14ac:dyDescent="0.25">
      <c r="A7" s="27" t="s">
        <v>14</v>
      </c>
      <c r="B7" s="82">
        <v>1.12E-2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151"/>
    </row>
    <row r="8" spans="1:8" ht="15.75" customHeight="1" x14ac:dyDescent="0.25">
      <c r="A8" s="27" t="s">
        <v>27</v>
      </c>
      <c r="B8" s="82">
        <v>7.1300000000000002E-2</v>
      </c>
      <c r="C8" s="28">
        <v>0</v>
      </c>
      <c r="D8" s="28">
        <v>0</v>
      </c>
      <c r="E8" s="28">
        <v>0</v>
      </c>
      <c r="F8" s="28">
        <v>0</v>
      </c>
      <c r="G8" s="28">
        <v>0</v>
      </c>
      <c r="H8" s="151"/>
    </row>
    <row r="9" spans="1:8" ht="15.75" customHeight="1" x14ac:dyDescent="0.25">
      <c r="A9" s="27" t="s">
        <v>15</v>
      </c>
      <c r="B9" s="82">
        <v>5.5300000000000002E-2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151"/>
    </row>
    <row r="10" spans="1:8" ht="15.75" customHeight="1" x14ac:dyDescent="0.25">
      <c r="A10" s="27" t="s">
        <v>71</v>
      </c>
      <c r="B10" s="28">
        <v>0</v>
      </c>
      <c r="C10" s="82">
        <v>0.15160000000000001</v>
      </c>
      <c r="D10" s="82">
        <v>0.15160000000000001</v>
      </c>
      <c r="E10" s="82">
        <v>0.15160000000000001</v>
      </c>
      <c r="F10" s="82">
        <v>0.15160000000000001</v>
      </c>
      <c r="G10" s="28">
        <v>0</v>
      </c>
      <c r="H10" s="151"/>
    </row>
    <row r="11" spans="1:8" ht="15.75" customHeight="1" x14ac:dyDescent="0.25">
      <c r="A11" s="27" t="s">
        <v>16</v>
      </c>
      <c r="B11" s="28">
        <v>0</v>
      </c>
      <c r="C11" s="82">
        <v>0.19289999999999999</v>
      </c>
      <c r="D11" s="82">
        <v>0.19289999999999999</v>
      </c>
      <c r="E11" s="82">
        <v>0.19289999999999999</v>
      </c>
      <c r="F11" s="82">
        <v>0.19289999999999999</v>
      </c>
      <c r="G11" s="28">
        <v>0</v>
      </c>
      <c r="H11" s="151"/>
    </row>
    <row r="12" spans="1:8" ht="15.75" customHeight="1" x14ac:dyDescent="0.25">
      <c r="A12" s="27" t="s">
        <v>17</v>
      </c>
      <c r="B12" s="28">
        <v>0</v>
      </c>
      <c r="C12" s="82">
        <v>3.7999999999999999E-2</v>
      </c>
      <c r="D12" s="82">
        <v>3.7999999999999999E-2</v>
      </c>
      <c r="E12" s="82">
        <v>3.7999999999999999E-2</v>
      </c>
      <c r="F12" s="82">
        <v>3.7999999999999999E-2</v>
      </c>
      <c r="G12" s="28">
        <v>0</v>
      </c>
      <c r="H12" s="151"/>
    </row>
    <row r="13" spans="1:8" ht="15.75" customHeight="1" x14ac:dyDescent="0.25">
      <c r="A13" s="27" t="s">
        <v>18</v>
      </c>
      <c r="B13" s="28">
        <v>0</v>
      </c>
      <c r="C13" s="82">
        <v>4.5499999999999999E-2</v>
      </c>
      <c r="D13" s="82">
        <v>4.5499999999999999E-2</v>
      </c>
      <c r="E13" s="82">
        <v>4.5499999999999999E-2</v>
      </c>
      <c r="F13" s="82">
        <v>4.5499999999999999E-2</v>
      </c>
      <c r="G13" s="28">
        <v>0</v>
      </c>
      <c r="H13" s="151"/>
    </row>
    <row r="14" spans="1:8" ht="15.75" customHeight="1" x14ac:dyDescent="0.25">
      <c r="A14" s="27" t="s">
        <v>19</v>
      </c>
      <c r="B14" s="28">
        <v>0</v>
      </c>
      <c r="C14" s="82">
        <v>0.1739</v>
      </c>
      <c r="D14" s="82">
        <v>0.1739</v>
      </c>
      <c r="E14" s="82">
        <v>0.1739</v>
      </c>
      <c r="F14" s="82">
        <v>0.1739</v>
      </c>
      <c r="G14" s="28">
        <v>0</v>
      </c>
      <c r="H14" s="151"/>
    </row>
    <row r="15" spans="1:8" ht="15.75" customHeight="1" x14ac:dyDescent="0.25">
      <c r="A15" s="27" t="s">
        <v>20</v>
      </c>
      <c r="B15" s="28">
        <v>0</v>
      </c>
      <c r="C15" s="82">
        <v>1.32E-2</v>
      </c>
      <c r="D15" s="82">
        <v>1.32E-2</v>
      </c>
      <c r="E15" s="82">
        <v>1.32E-2</v>
      </c>
      <c r="F15" s="82">
        <v>1.32E-2</v>
      </c>
      <c r="G15" s="28">
        <v>0</v>
      </c>
      <c r="H15" s="151"/>
    </row>
    <row r="16" spans="1:8" ht="15.75" customHeight="1" x14ac:dyDescent="0.25">
      <c r="A16" s="27" t="s">
        <v>21</v>
      </c>
      <c r="B16" s="28">
        <v>0</v>
      </c>
      <c r="C16" s="82">
        <v>7.7000000000000002E-3</v>
      </c>
      <c r="D16" s="82">
        <v>7.7000000000000002E-3</v>
      </c>
      <c r="E16" s="82">
        <v>7.7000000000000002E-3</v>
      </c>
      <c r="F16" s="82">
        <v>7.7000000000000002E-3</v>
      </c>
      <c r="G16" s="28">
        <v>0</v>
      </c>
      <c r="H16" s="151"/>
    </row>
    <row r="17" spans="1:8" ht="15.75" customHeight="1" x14ac:dyDescent="0.25">
      <c r="A17" s="27" t="s">
        <v>22</v>
      </c>
      <c r="B17" s="28">
        <v>0</v>
      </c>
      <c r="C17" s="82">
        <v>7.8600000000000003E-2</v>
      </c>
      <c r="D17" s="82">
        <v>7.8600000000000003E-2</v>
      </c>
      <c r="E17" s="82">
        <v>7.8600000000000003E-2</v>
      </c>
      <c r="F17" s="82">
        <v>7.8600000000000003E-2</v>
      </c>
      <c r="G17" s="28">
        <v>0</v>
      </c>
      <c r="H17" s="151"/>
    </row>
    <row r="18" spans="1:8" ht="15.75" customHeight="1" x14ac:dyDescent="0.25">
      <c r="A18" s="27" t="s">
        <v>23</v>
      </c>
      <c r="B18" s="28">
        <v>0</v>
      </c>
      <c r="C18" s="82">
        <v>0.29859999999999998</v>
      </c>
      <c r="D18" s="82">
        <v>0.29859999999999998</v>
      </c>
      <c r="E18" s="82">
        <v>0.29859999999999998</v>
      </c>
      <c r="F18" s="82">
        <v>0.29859999999999998</v>
      </c>
      <c r="G18" s="28">
        <v>0</v>
      </c>
      <c r="H18" s="151"/>
    </row>
    <row r="19" spans="1:8" ht="15.75" customHeight="1" x14ac:dyDescent="0.25">
      <c r="A19" s="27" t="s">
        <v>38</v>
      </c>
      <c r="B19" s="28">
        <v>0</v>
      </c>
      <c r="C19" s="28">
        <v>0</v>
      </c>
      <c r="D19" s="28">
        <v>0</v>
      </c>
      <c r="E19" s="28">
        <v>0</v>
      </c>
      <c r="F19" s="28">
        <v>0</v>
      </c>
      <c r="G19" s="83">
        <v>8.8900000000000007E-2</v>
      </c>
      <c r="H19" s="151"/>
    </row>
    <row r="20" spans="1:8" ht="15.75" customHeight="1" x14ac:dyDescent="0.25">
      <c r="A20" s="27" t="s">
        <v>39</v>
      </c>
      <c r="B20" s="28">
        <v>0</v>
      </c>
      <c r="C20" s="28">
        <v>0</v>
      </c>
      <c r="D20" s="28">
        <v>0</v>
      </c>
      <c r="E20" s="28">
        <v>0</v>
      </c>
      <c r="F20" s="28">
        <v>0</v>
      </c>
      <c r="G20" s="83">
        <v>8.6999999999999994E-3</v>
      </c>
      <c r="H20" s="151"/>
    </row>
    <row r="21" spans="1:8" ht="15.75" customHeight="1" x14ac:dyDescent="0.25">
      <c r="A21" s="27" t="s">
        <v>40</v>
      </c>
      <c r="B21" s="28">
        <v>0</v>
      </c>
      <c r="C21" s="28">
        <v>0</v>
      </c>
      <c r="D21" s="28">
        <v>0</v>
      </c>
      <c r="E21" s="28">
        <v>0</v>
      </c>
      <c r="F21" s="28">
        <v>0</v>
      </c>
      <c r="G21" s="83">
        <v>0.1575</v>
      </c>
      <c r="H21" s="151"/>
    </row>
    <row r="22" spans="1:8" ht="15.75" customHeight="1" x14ac:dyDescent="0.25">
      <c r="A22" s="27" t="s">
        <v>41</v>
      </c>
      <c r="B22" s="28">
        <v>0</v>
      </c>
      <c r="C22" s="28">
        <v>0</v>
      </c>
      <c r="D22" s="28">
        <v>0</v>
      </c>
      <c r="E22" s="28">
        <v>0</v>
      </c>
      <c r="F22" s="28">
        <v>0</v>
      </c>
      <c r="G22" s="83">
        <v>0.16980000000000001</v>
      </c>
      <c r="H22" s="151"/>
    </row>
    <row r="23" spans="1:8" ht="15.75" customHeight="1" x14ac:dyDescent="0.25">
      <c r="A23" s="27" t="s">
        <v>42</v>
      </c>
      <c r="B23" s="28">
        <v>0</v>
      </c>
      <c r="C23" s="28">
        <v>0</v>
      </c>
      <c r="D23" s="28">
        <v>0</v>
      </c>
      <c r="E23" s="28">
        <v>0</v>
      </c>
      <c r="F23" s="28">
        <v>0</v>
      </c>
      <c r="G23" s="83">
        <v>0.10489999999999999</v>
      </c>
      <c r="H23" s="151"/>
    </row>
    <row r="24" spans="1:8" ht="15.75" customHeight="1" x14ac:dyDescent="0.25">
      <c r="A24" s="27" t="s">
        <v>43</v>
      </c>
      <c r="B24" s="28">
        <v>0</v>
      </c>
      <c r="C24" s="28">
        <v>0</v>
      </c>
      <c r="D24" s="28">
        <v>0</v>
      </c>
      <c r="E24" s="28">
        <v>0</v>
      </c>
      <c r="F24" s="28">
        <v>0</v>
      </c>
      <c r="G24" s="83">
        <v>0.1087</v>
      </c>
      <c r="H24" s="151"/>
    </row>
    <row r="25" spans="1:8" ht="15.75" customHeight="1" x14ac:dyDescent="0.25">
      <c r="A25" s="27" t="s">
        <v>44</v>
      </c>
      <c r="B25" s="28">
        <v>0</v>
      </c>
      <c r="C25" s="28">
        <v>0</v>
      </c>
      <c r="D25" s="28">
        <v>0</v>
      </c>
      <c r="E25" s="28">
        <v>0</v>
      </c>
      <c r="F25" s="28">
        <v>0</v>
      </c>
      <c r="G25" s="83">
        <v>1.8800000000000001E-2</v>
      </c>
      <c r="H25" s="151"/>
    </row>
    <row r="26" spans="1:8" ht="15.75" customHeight="1" x14ac:dyDescent="0.25">
      <c r="A26" s="27" t="s">
        <v>45</v>
      </c>
      <c r="B26" s="28">
        <v>0</v>
      </c>
      <c r="C26" s="28">
        <v>0</v>
      </c>
      <c r="D26" s="28">
        <v>0</v>
      </c>
      <c r="E26" s="28">
        <v>0</v>
      </c>
      <c r="F26" s="28">
        <v>0</v>
      </c>
      <c r="G26" s="83">
        <v>8.5800000000000001E-2</v>
      </c>
      <c r="H26" s="151"/>
    </row>
    <row r="27" spans="1:8" ht="15.75" customHeight="1" x14ac:dyDescent="0.25">
      <c r="A27" s="27" t="s">
        <v>46</v>
      </c>
      <c r="B27" s="28">
        <v>0</v>
      </c>
      <c r="C27" s="28">
        <v>0</v>
      </c>
      <c r="D27" s="28">
        <v>0</v>
      </c>
      <c r="E27" s="28">
        <v>0</v>
      </c>
      <c r="F27" s="28">
        <v>0</v>
      </c>
      <c r="G27" s="83">
        <v>0.25690000000000002</v>
      </c>
      <c r="H27" s="151"/>
    </row>
  </sheetData>
  <mergeCells count="1">
    <mergeCell ref="H2:H27"/>
  </mergeCells>
  <phoneticPr fontId="8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65"/>
  <sheetViews>
    <sheetView topLeftCell="A13" zoomScale="90" zoomScaleNormal="60" workbookViewId="0">
      <selection activeCell="A20" sqref="A20:XFD121"/>
    </sheetView>
  </sheetViews>
  <sheetFormatPr defaultColWidth="14.36328125" defaultRowHeight="15.75" customHeight="1" x14ac:dyDescent="0.25"/>
  <cols>
    <col min="1" max="1" width="31.36328125" customWidth="1"/>
    <col min="2" max="2" width="24" customWidth="1"/>
    <col min="8" max="8" width="16.08984375" bestFit="1" customWidth="1"/>
  </cols>
  <sheetData>
    <row r="1" spans="1:15" ht="36" customHeight="1" x14ac:dyDescent="0.3">
      <c r="A1" s="31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  <c r="H1" s="86" t="s">
        <v>204</v>
      </c>
    </row>
    <row r="2" spans="1:15" ht="15.75" customHeight="1" x14ac:dyDescent="0.25">
      <c r="A2" s="6" t="s">
        <v>116</v>
      </c>
      <c r="B2" s="14" t="s">
        <v>118</v>
      </c>
      <c r="C2" s="130">
        <v>0.75275219999999998</v>
      </c>
      <c r="D2" s="130">
        <v>0.75275219999999998</v>
      </c>
      <c r="E2" s="130">
        <v>0.71202149999999997</v>
      </c>
      <c r="F2" s="130">
        <v>0.43282379999999998</v>
      </c>
      <c r="G2" s="130">
        <v>0.2069058</v>
      </c>
      <c r="H2" s="150" t="s">
        <v>242</v>
      </c>
    </row>
    <row r="3" spans="1:15" ht="15.75" customHeight="1" x14ac:dyDescent="0.25">
      <c r="A3" s="5"/>
      <c r="B3" s="14" t="s">
        <v>119</v>
      </c>
      <c r="C3" s="130">
        <v>0.19694120000000001</v>
      </c>
      <c r="D3" s="130">
        <v>0.19694120000000001</v>
      </c>
      <c r="E3" s="130">
        <v>0.118295</v>
      </c>
      <c r="F3" s="130">
        <v>0.160751</v>
      </c>
      <c r="G3" s="130">
        <v>0.26327139999999999</v>
      </c>
      <c r="H3" s="150"/>
    </row>
    <row r="4" spans="1:15" ht="15.75" customHeight="1" x14ac:dyDescent="0.25">
      <c r="A4" s="5"/>
      <c r="B4" s="14" t="s">
        <v>117</v>
      </c>
      <c r="C4" s="130">
        <v>3.4473799999999999E-2</v>
      </c>
      <c r="D4" s="130">
        <v>3.4473799999999999E-2</v>
      </c>
      <c r="E4" s="130">
        <v>3.9295400000000001E-2</v>
      </c>
      <c r="F4" s="130">
        <v>0.33879369999999998</v>
      </c>
      <c r="G4" s="130">
        <v>0.26064690000000001</v>
      </c>
      <c r="H4" s="150"/>
    </row>
    <row r="5" spans="1:15" ht="15.75" customHeight="1" x14ac:dyDescent="0.25">
      <c r="A5" s="5"/>
      <c r="B5" s="14" t="s">
        <v>120</v>
      </c>
      <c r="C5" s="130">
        <v>1.5832800000000001E-2</v>
      </c>
      <c r="D5" s="130">
        <v>1.5832800000000001E-2</v>
      </c>
      <c r="E5" s="130">
        <v>0.13038810000000001</v>
      </c>
      <c r="F5" s="130">
        <v>6.76316E-2</v>
      </c>
      <c r="G5" s="130">
        <v>0.26917590000000002</v>
      </c>
      <c r="H5" s="150"/>
      <c r="I5" s="104"/>
    </row>
    <row r="6" spans="1:15" ht="15.75" customHeight="1" x14ac:dyDescent="0.25">
      <c r="B6" s="17"/>
      <c r="C6" s="33">
        <f>SUM(C2:C5)</f>
        <v>1</v>
      </c>
      <c r="D6" s="33"/>
      <c r="E6" s="33"/>
      <c r="F6" s="33"/>
      <c r="G6" s="33"/>
    </row>
    <row r="7" spans="1:15" ht="15.75" customHeight="1" x14ac:dyDescent="0.25">
      <c r="B7" s="17"/>
      <c r="C7" s="33"/>
      <c r="D7" s="33"/>
      <c r="E7" s="33"/>
      <c r="F7" s="33"/>
      <c r="G7" s="33"/>
    </row>
    <row r="8" spans="1:15" ht="15.75" customHeight="1" x14ac:dyDescent="0.25">
      <c r="A8" s="3" t="s">
        <v>115</v>
      </c>
      <c r="B8" s="9" t="s">
        <v>121</v>
      </c>
      <c r="C8" s="130">
        <v>0.90986180000000005</v>
      </c>
      <c r="D8" s="130">
        <v>0.90986180000000005</v>
      </c>
      <c r="E8" s="130">
        <v>0.75049109999999997</v>
      </c>
      <c r="F8" s="130">
        <v>0.75221340000000003</v>
      </c>
      <c r="G8" s="130">
        <v>0.87037690000000001</v>
      </c>
      <c r="H8" s="150" t="s">
        <v>242</v>
      </c>
    </row>
    <row r="9" spans="1:15" ht="15.75" customHeight="1" x14ac:dyDescent="0.25">
      <c r="B9" s="9" t="s">
        <v>122</v>
      </c>
      <c r="C9" s="130">
        <v>4.4073800000000003E-2</v>
      </c>
      <c r="D9" s="130">
        <v>4.4073800000000003E-2</v>
      </c>
      <c r="E9" s="130">
        <v>0.23691799999999999</v>
      </c>
      <c r="F9" s="130">
        <v>0.168381</v>
      </c>
      <c r="G9" s="130">
        <v>9.0045200000000006E-2</v>
      </c>
      <c r="H9" s="150"/>
    </row>
    <row r="10" spans="1:15" ht="15.75" customHeight="1" x14ac:dyDescent="0.25">
      <c r="B10" s="9" t="s">
        <v>123</v>
      </c>
      <c r="C10" s="130">
        <v>4.6064500000000001E-2</v>
      </c>
      <c r="D10" s="130">
        <v>4.6064500000000001E-2</v>
      </c>
      <c r="E10" s="130">
        <v>0</v>
      </c>
      <c r="F10" s="130">
        <v>6.0502500000000001E-2</v>
      </c>
      <c r="G10" s="130">
        <v>3.9577899999999999E-2</v>
      </c>
      <c r="H10" s="150"/>
    </row>
    <row r="11" spans="1:15" ht="15.75" customHeight="1" x14ac:dyDescent="0.25">
      <c r="B11" s="9" t="s">
        <v>124</v>
      </c>
      <c r="C11" s="130">
        <v>0</v>
      </c>
      <c r="D11" s="130">
        <v>0</v>
      </c>
      <c r="E11" s="130">
        <v>1.2591E-2</v>
      </c>
      <c r="F11" s="130">
        <v>1.8903099999999999E-2</v>
      </c>
      <c r="G11" s="130">
        <v>0</v>
      </c>
      <c r="H11" s="150"/>
    </row>
    <row r="12" spans="1:15" ht="15.75" customHeight="1" x14ac:dyDescent="0.25">
      <c r="C12" s="10"/>
      <c r="D12" s="10"/>
      <c r="E12" s="10"/>
      <c r="F12" s="10"/>
      <c r="G12" s="10"/>
      <c r="I12" s="18"/>
      <c r="J12" s="18"/>
      <c r="K12" s="18"/>
      <c r="L12" s="18"/>
      <c r="M12" s="18"/>
      <c r="N12" s="18"/>
      <c r="O12" s="18"/>
    </row>
    <row r="13" spans="1:15" ht="27" customHeight="1" x14ac:dyDescent="0.25">
      <c r="A13" s="15" t="s">
        <v>70</v>
      </c>
      <c r="C13" s="49" t="s">
        <v>1</v>
      </c>
      <c r="D13" s="49" t="s">
        <v>2</v>
      </c>
      <c r="E13" s="49" t="s">
        <v>3</v>
      </c>
      <c r="F13" s="49" t="s">
        <v>4</v>
      </c>
      <c r="G13" s="49" t="s">
        <v>5</v>
      </c>
      <c r="H13" s="87" t="s">
        <v>53</v>
      </c>
      <c r="I13" s="87" t="s">
        <v>54</v>
      </c>
      <c r="J13" s="87" t="s">
        <v>55</v>
      </c>
      <c r="K13" s="87" t="s">
        <v>56</v>
      </c>
      <c r="L13" s="87" t="s">
        <v>49</v>
      </c>
      <c r="M13" s="87" t="s">
        <v>50</v>
      </c>
      <c r="N13" s="87" t="s">
        <v>51</v>
      </c>
      <c r="O13" s="87" t="s">
        <v>52</v>
      </c>
    </row>
    <row r="14" spans="1:15" ht="15.75" customHeight="1" x14ac:dyDescent="0.25">
      <c r="B14" s="19" t="s">
        <v>132</v>
      </c>
      <c r="C14" s="139"/>
      <c r="D14" s="139"/>
      <c r="E14" s="130">
        <v>0.65869999999999995</v>
      </c>
      <c r="F14" s="130">
        <v>0.68740000000000001</v>
      </c>
      <c r="G14" s="130">
        <v>0.61099999999999999</v>
      </c>
      <c r="H14" s="140">
        <v>0.14050000000000001</v>
      </c>
      <c r="I14" s="140">
        <v>0.34570000000000001</v>
      </c>
      <c r="J14" s="140">
        <v>3.4099999999999998E-2</v>
      </c>
      <c r="K14" s="140">
        <v>0</v>
      </c>
      <c r="L14" s="140">
        <v>0.1963</v>
      </c>
      <c r="M14" s="140">
        <v>0.29759999999999998</v>
      </c>
      <c r="N14" s="140">
        <v>0.3095</v>
      </c>
      <c r="O14" s="140">
        <v>0.19570000000000001</v>
      </c>
    </row>
    <row r="15" spans="1:15" ht="15.75" customHeight="1" x14ac:dyDescent="0.25">
      <c r="B15" s="19" t="s">
        <v>68</v>
      </c>
      <c r="C15" s="37">
        <f t="shared" ref="C15:O15" si="0">iron_deficiency_anaemia*C14</f>
        <v>0</v>
      </c>
      <c r="D15" s="37">
        <f t="shared" si="0"/>
        <v>0</v>
      </c>
      <c r="E15" s="37">
        <f t="shared" si="0"/>
        <v>0.28666623999999996</v>
      </c>
      <c r="F15" s="37">
        <f t="shared" si="0"/>
        <v>0.29915648</v>
      </c>
      <c r="G15" s="37">
        <f t="shared" si="0"/>
        <v>0.26590719999999995</v>
      </c>
      <c r="H15" s="37">
        <f t="shared" si="0"/>
        <v>6.1145600000000001E-2</v>
      </c>
      <c r="I15" s="37">
        <f t="shared" si="0"/>
        <v>0.15044863999999999</v>
      </c>
      <c r="J15" s="37">
        <f t="shared" si="0"/>
        <v>1.4840319999999999E-2</v>
      </c>
      <c r="K15" s="37">
        <f t="shared" si="0"/>
        <v>0</v>
      </c>
      <c r="L15" s="37">
        <f t="shared" si="0"/>
        <v>8.5429759999999993E-2</v>
      </c>
      <c r="M15" s="37">
        <f t="shared" si="0"/>
        <v>0.12951552</v>
      </c>
      <c r="N15" s="37">
        <f t="shared" si="0"/>
        <v>0.13469439999999999</v>
      </c>
      <c r="O15" s="37">
        <f t="shared" si="0"/>
        <v>8.5168640000000004E-2</v>
      </c>
    </row>
    <row r="16" spans="1:15" ht="19" customHeight="1" x14ac:dyDescent="0.3">
      <c r="B16" s="94" t="s">
        <v>211</v>
      </c>
      <c r="C16" s="152" t="s">
        <v>242</v>
      </c>
      <c r="D16" s="153"/>
      <c r="E16" s="153"/>
      <c r="F16" s="153"/>
      <c r="G16" s="153"/>
      <c r="H16" s="154" t="s">
        <v>242</v>
      </c>
      <c r="I16" s="155"/>
      <c r="J16" s="155"/>
      <c r="K16" s="155"/>
      <c r="L16" s="155"/>
      <c r="M16" s="155"/>
      <c r="N16" s="155"/>
      <c r="O16" s="155"/>
    </row>
    <row r="17" spans="2:15" ht="49.75" customHeight="1" x14ac:dyDescent="0.25">
      <c r="C17" s="10"/>
      <c r="D17" s="10"/>
      <c r="E17" s="10"/>
      <c r="F17" s="10"/>
      <c r="G17" s="10"/>
      <c r="H17" s="156"/>
      <c r="I17" s="156"/>
      <c r="J17" s="156"/>
      <c r="K17" s="156"/>
      <c r="L17" s="156"/>
      <c r="M17" s="156"/>
      <c r="N17" s="156"/>
      <c r="O17" s="156"/>
    </row>
    <row r="20" spans="2:15" ht="15.75" customHeight="1" x14ac:dyDescent="0.25">
      <c r="B20" s="108"/>
      <c r="D20" s="108"/>
      <c r="F20" s="108"/>
      <c r="H20" s="108"/>
      <c r="J20" s="108"/>
      <c r="L20" s="108"/>
      <c r="M20" s="98"/>
    </row>
    <row r="21" spans="2:15" ht="15.75" customHeight="1" x14ac:dyDescent="0.25">
      <c r="B21" s="108"/>
      <c r="D21" s="108"/>
      <c r="F21" s="108"/>
      <c r="H21" s="108"/>
      <c r="J21" s="108"/>
      <c r="L21" s="108"/>
      <c r="M21" s="98"/>
    </row>
    <row r="22" spans="2:15" ht="15.75" customHeight="1" x14ac:dyDescent="0.25">
      <c r="B22" s="108"/>
      <c r="D22" s="108"/>
      <c r="F22" s="108"/>
      <c r="H22" s="108"/>
      <c r="J22" s="108"/>
      <c r="L22" s="108"/>
      <c r="M22" s="98"/>
    </row>
    <row r="23" spans="2:15" ht="15.75" customHeight="1" x14ac:dyDescent="0.25">
      <c r="B23" s="108"/>
      <c r="D23" s="108"/>
      <c r="F23" s="108"/>
      <c r="H23" s="108"/>
      <c r="J23" s="108"/>
      <c r="L23" s="108"/>
      <c r="M23" s="98"/>
    </row>
    <row r="24" spans="2:15" ht="15.75" customHeight="1" x14ac:dyDescent="0.25">
      <c r="B24" s="108"/>
      <c r="D24" s="108"/>
      <c r="F24" s="108"/>
      <c r="H24" s="108"/>
      <c r="J24" s="108"/>
      <c r="L24" s="108"/>
      <c r="M24" s="98"/>
    </row>
    <row r="25" spans="2:15" ht="15.75" customHeight="1" x14ac:dyDescent="0.25">
      <c r="B25" s="108"/>
      <c r="D25" s="108"/>
      <c r="F25" s="108"/>
      <c r="H25" s="108"/>
      <c r="J25" s="108"/>
      <c r="L25" s="108"/>
      <c r="M25" s="98"/>
    </row>
    <row r="26" spans="2:15" ht="15.75" customHeight="1" x14ac:dyDescent="0.25">
      <c r="B26" s="108"/>
      <c r="D26" s="108"/>
      <c r="F26" s="108"/>
      <c r="H26" s="108"/>
      <c r="J26" s="108"/>
      <c r="L26" s="108"/>
      <c r="M26" s="98"/>
    </row>
    <row r="27" spans="2:15" ht="15.75" customHeight="1" x14ac:dyDescent="0.25">
      <c r="B27" s="108"/>
      <c r="D27" s="108"/>
      <c r="F27" s="108"/>
      <c r="H27" s="108"/>
      <c r="J27" s="108"/>
      <c r="L27" s="108"/>
      <c r="M27" s="98"/>
    </row>
    <row r="28" spans="2:15" ht="15.75" customHeight="1" x14ac:dyDescent="0.25">
      <c r="B28" s="108"/>
      <c r="D28" s="108"/>
      <c r="F28" s="108"/>
      <c r="H28" s="108"/>
      <c r="J28" s="108"/>
      <c r="L28" s="108"/>
      <c r="M28" s="98"/>
    </row>
    <row r="29" spans="2:15" ht="15.75" customHeight="1" x14ac:dyDescent="0.25">
      <c r="B29" s="108"/>
      <c r="D29" s="108"/>
      <c r="F29" s="108"/>
      <c r="H29" s="108"/>
      <c r="J29" s="108"/>
      <c r="L29" s="108"/>
      <c r="M29" s="98"/>
    </row>
    <row r="30" spans="2:15" ht="15.75" customHeight="1" x14ac:dyDescent="0.25">
      <c r="B30" s="108"/>
      <c r="D30" s="108"/>
      <c r="F30" s="108"/>
      <c r="H30" s="108"/>
      <c r="J30" s="108"/>
      <c r="L30" s="108"/>
      <c r="M30" s="98"/>
    </row>
    <row r="31" spans="2:15" ht="15.75" customHeight="1" x14ac:dyDescent="0.25">
      <c r="B31" s="108"/>
      <c r="D31" s="108"/>
      <c r="F31" s="108"/>
      <c r="H31" s="108"/>
      <c r="J31" s="108"/>
      <c r="L31" s="108"/>
      <c r="M31" s="98"/>
    </row>
    <row r="32" spans="2:15" ht="15.75" customHeight="1" x14ac:dyDescent="0.25">
      <c r="B32" s="108"/>
      <c r="D32" s="108"/>
      <c r="F32" s="108"/>
      <c r="H32" s="108"/>
      <c r="J32" s="108"/>
      <c r="L32" s="108"/>
      <c r="M32" s="98"/>
    </row>
    <row r="33" spans="10:13" ht="15.75" customHeight="1" x14ac:dyDescent="0.25">
      <c r="J33" s="108"/>
      <c r="L33" s="108"/>
      <c r="M33" s="98"/>
    </row>
    <row r="65" spans="14:14" ht="15.75" customHeight="1" x14ac:dyDescent="0.25">
      <c r="N65">
        <v>30</v>
      </c>
    </row>
  </sheetData>
  <mergeCells count="5">
    <mergeCell ref="H2:H5"/>
    <mergeCell ref="H8:H11"/>
    <mergeCell ref="C16:G16"/>
    <mergeCell ref="H16:O16"/>
    <mergeCell ref="H17:O17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H7"/>
  <sheetViews>
    <sheetView zoomScale="89" zoomScaleNormal="60" workbookViewId="0">
      <selection activeCell="E8" sqref="E8"/>
    </sheetView>
  </sheetViews>
  <sheetFormatPr defaultColWidth="8.81640625" defaultRowHeight="12.5" x14ac:dyDescent="0.25"/>
  <cols>
    <col min="1" max="1" width="28.81640625" customWidth="1"/>
    <col min="2" max="7" width="13.36328125" customWidth="1"/>
    <col min="8" max="8" width="16.08984375" bestFit="1" customWidth="1"/>
  </cols>
  <sheetData>
    <row r="1" spans="1:8" ht="40.5" customHeight="1" x14ac:dyDescent="0.3">
      <c r="A1" s="31" t="str">
        <f>"Percentage of children in each category in baseline year ("&amp;start_year&amp;")"</f>
        <v>Percentage of children in each category in baseline year (2017)</v>
      </c>
      <c r="B1" s="1" t="s">
        <v>6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86" t="s">
        <v>204</v>
      </c>
    </row>
    <row r="2" spans="1:8" x14ac:dyDescent="0.25">
      <c r="A2" s="3" t="s">
        <v>24</v>
      </c>
      <c r="B2" s="50" t="s">
        <v>166</v>
      </c>
      <c r="C2" s="130">
        <v>1</v>
      </c>
      <c r="D2" s="130">
        <v>0.59735380000000005</v>
      </c>
      <c r="E2" s="130"/>
      <c r="F2" s="130"/>
      <c r="G2" s="130"/>
      <c r="H2" s="150" t="s">
        <v>207</v>
      </c>
    </row>
    <row r="3" spans="1:8" x14ac:dyDescent="0.25">
      <c r="B3" s="50" t="s">
        <v>167</v>
      </c>
      <c r="C3" s="141">
        <v>0</v>
      </c>
      <c r="D3" s="141">
        <v>7.5688099999999994E-2</v>
      </c>
      <c r="E3" s="141"/>
      <c r="F3" s="141"/>
      <c r="G3" s="141"/>
      <c r="H3" s="150"/>
    </row>
    <row r="4" spans="1:8" x14ac:dyDescent="0.25">
      <c r="B4" s="50" t="s">
        <v>168</v>
      </c>
      <c r="C4" s="141">
        <v>0</v>
      </c>
      <c r="D4" s="141">
        <v>0.31910189999999999</v>
      </c>
      <c r="E4" s="134">
        <v>0.93439240000000001</v>
      </c>
      <c r="F4" s="134">
        <v>0.84550959999999997</v>
      </c>
      <c r="G4" s="134">
        <v>0.10314039999999999</v>
      </c>
      <c r="H4" s="150"/>
    </row>
    <row r="5" spans="1:8" x14ac:dyDescent="0.25">
      <c r="B5" s="50" t="s">
        <v>169</v>
      </c>
      <c r="C5" s="37">
        <f>1-SUM(C2:C4)</f>
        <v>0</v>
      </c>
      <c r="D5" s="37">
        <f t="shared" ref="D5:G5" si="0">1-SUM(D2:D4)</f>
        <v>7.8561999999999799E-3</v>
      </c>
      <c r="E5" s="37">
        <f t="shared" si="0"/>
        <v>6.5607599999999988E-2</v>
      </c>
      <c r="F5" s="37">
        <f t="shared" si="0"/>
        <v>0.15449040000000003</v>
      </c>
      <c r="G5" s="37">
        <f t="shared" si="0"/>
        <v>0.89685959999999998</v>
      </c>
      <c r="H5" s="150"/>
    </row>
    <row r="7" spans="1:8" x14ac:dyDescent="0.25">
      <c r="E7" s="15"/>
      <c r="F7" s="15"/>
      <c r="G7" s="15"/>
    </row>
  </sheetData>
  <mergeCells count="1">
    <mergeCell ref="H2:H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60" zoomScaleNormal="60" workbookViewId="0">
      <selection activeCell="G35" sqref="G35"/>
    </sheetView>
  </sheetViews>
  <sheetFormatPr defaultColWidth="8.81640625" defaultRowHeight="12.5" x14ac:dyDescent="0.25"/>
  <cols>
    <col min="1" max="1" width="37" customWidth="1"/>
    <col min="2" max="2" width="29.36328125" customWidth="1"/>
  </cols>
  <sheetData>
    <row r="1" spans="1:11" ht="13" x14ac:dyDescent="0.3">
      <c r="A1" s="4" t="s">
        <v>139</v>
      </c>
      <c r="B1" s="4" t="s">
        <v>146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140</v>
      </c>
      <c r="B2" s="17" t="s">
        <v>144</v>
      </c>
      <c r="C2" s="32"/>
      <c r="D2" s="32"/>
      <c r="E2" s="32"/>
      <c r="F2" s="32"/>
      <c r="G2" s="32"/>
      <c r="H2" s="32"/>
      <c r="I2" s="32"/>
      <c r="J2" s="32"/>
      <c r="K2" s="32"/>
    </row>
    <row r="3" spans="1:11" x14ac:dyDescent="0.25">
      <c r="B3" s="17"/>
    </row>
    <row r="4" spans="1:11" x14ac:dyDescent="0.25">
      <c r="A4" t="s">
        <v>141</v>
      </c>
      <c r="B4" s="17" t="s">
        <v>144</v>
      </c>
      <c r="C4" s="32"/>
      <c r="D4" s="32"/>
      <c r="E4" s="32"/>
      <c r="F4" s="32"/>
      <c r="G4" s="32"/>
      <c r="H4" s="32"/>
      <c r="I4" s="32"/>
      <c r="J4" s="32"/>
      <c r="K4" s="32"/>
    </row>
    <row r="5" spans="1:11" x14ac:dyDescent="0.25">
      <c r="B5" s="17"/>
    </row>
    <row r="6" spans="1:11" x14ac:dyDescent="0.25">
      <c r="A6" t="s">
        <v>142</v>
      </c>
      <c r="B6" s="17" t="s">
        <v>144</v>
      </c>
      <c r="C6" s="32"/>
      <c r="D6" s="32"/>
      <c r="E6" s="32"/>
      <c r="F6" s="32"/>
      <c r="G6" s="32"/>
      <c r="H6" s="32"/>
      <c r="I6" s="32"/>
      <c r="J6" s="32"/>
      <c r="K6" s="32"/>
    </row>
    <row r="7" spans="1:11" x14ac:dyDescent="0.25">
      <c r="B7" s="17" t="s">
        <v>32</v>
      </c>
      <c r="C7" s="32"/>
      <c r="D7" s="32"/>
      <c r="E7" s="32"/>
      <c r="F7" s="32"/>
      <c r="G7" s="32"/>
      <c r="H7" s="32"/>
      <c r="I7" s="32"/>
      <c r="J7" s="32"/>
      <c r="K7" s="32"/>
    </row>
    <row r="8" spans="1:11" x14ac:dyDescent="0.25">
      <c r="B8" s="17" t="s">
        <v>145</v>
      </c>
      <c r="C8" s="32"/>
      <c r="D8" s="32"/>
      <c r="E8" s="32"/>
      <c r="F8" s="32"/>
      <c r="G8" s="32"/>
      <c r="H8" s="32"/>
      <c r="I8" s="32"/>
      <c r="J8" s="32"/>
      <c r="K8" s="32"/>
    </row>
    <row r="10" spans="1:11" x14ac:dyDescent="0.25">
      <c r="A10" t="s">
        <v>143</v>
      </c>
      <c r="B10" s="19" t="s">
        <v>148</v>
      </c>
      <c r="C10" s="32"/>
      <c r="D10" s="32"/>
      <c r="E10" s="32"/>
      <c r="F10" s="32"/>
      <c r="G10" s="32"/>
      <c r="H10" s="32"/>
      <c r="I10" s="32"/>
      <c r="J10" s="32"/>
      <c r="K10" s="32"/>
    </row>
    <row r="11" spans="1:11" x14ac:dyDescent="0.25">
      <c r="B11" s="39" t="s">
        <v>147</v>
      </c>
      <c r="C11" s="32"/>
      <c r="D11" s="32"/>
      <c r="E11" s="32"/>
      <c r="F11" s="32"/>
      <c r="G11" s="32"/>
      <c r="H11" s="32"/>
      <c r="I11" s="32"/>
      <c r="J11" s="32"/>
      <c r="K11" s="32"/>
    </row>
    <row r="13" spans="1:11" x14ac:dyDescent="0.25">
      <c r="A13" s="15" t="s">
        <v>74</v>
      </c>
      <c r="B13" s="39" t="s">
        <v>149</v>
      </c>
      <c r="C13" s="32"/>
      <c r="D13" s="32"/>
      <c r="E13" s="32"/>
      <c r="F13" s="32"/>
      <c r="G13" s="32"/>
      <c r="H13" s="32"/>
      <c r="I13" s="32"/>
      <c r="J13" s="32"/>
      <c r="K13" s="32"/>
    </row>
    <row r="14" spans="1:11" x14ac:dyDescent="0.25">
      <c r="B14" s="19" t="s">
        <v>170</v>
      </c>
      <c r="C14" s="32"/>
      <c r="D14" s="32"/>
      <c r="E14" s="32"/>
      <c r="F14" s="32"/>
      <c r="G14" s="32"/>
      <c r="H14" s="32"/>
      <c r="I14" s="32"/>
      <c r="J14" s="32"/>
      <c r="K14" s="3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60" zoomScaleNormal="60" workbookViewId="0">
      <selection activeCell="J1" sqref="J1"/>
    </sheetView>
  </sheetViews>
  <sheetFormatPr defaultColWidth="11.36328125" defaultRowHeight="12.5" x14ac:dyDescent="0.25"/>
  <cols>
    <col min="1" max="1" width="17" style="42" customWidth="1"/>
    <col min="2" max="2" width="19.08984375" style="42" customWidth="1"/>
    <col min="3" max="3" width="13.36328125" style="42" customWidth="1"/>
    <col min="4" max="16384" width="11.36328125" style="42"/>
  </cols>
  <sheetData>
    <row r="1" spans="1:5" ht="13" x14ac:dyDescent="0.3">
      <c r="A1" s="55" t="s">
        <v>177</v>
      </c>
      <c r="B1" s="56" t="s">
        <v>176</v>
      </c>
      <c r="C1" s="56" t="s">
        <v>175</v>
      </c>
      <c r="D1" s="56" t="s">
        <v>174</v>
      </c>
      <c r="E1" s="56" t="s">
        <v>173</v>
      </c>
    </row>
    <row r="2" spans="1:5" ht="13" x14ac:dyDescent="0.3">
      <c r="A2" s="54" t="s">
        <v>172</v>
      </c>
      <c r="B2" s="51" t="s">
        <v>32</v>
      </c>
      <c r="C2" s="75"/>
      <c r="D2" s="75" t="b">
        <v>1</v>
      </c>
      <c r="E2" s="76" t="b">
        <f>IF(E$7="","",E$7)</f>
        <v>1</v>
      </c>
    </row>
    <row r="3" spans="1:5" x14ac:dyDescent="0.25">
      <c r="A3" s="52"/>
      <c r="B3" s="51" t="s">
        <v>1</v>
      </c>
      <c r="C3" s="75"/>
      <c r="D3" s="75" t="b">
        <v>1</v>
      </c>
      <c r="E3" s="76" t="b">
        <f>IF(E$7="","",E$7)</f>
        <v>1</v>
      </c>
    </row>
    <row r="4" spans="1:5" x14ac:dyDescent="0.25">
      <c r="A4" s="52"/>
      <c r="B4" s="51" t="s">
        <v>2</v>
      </c>
      <c r="C4" s="75"/>
      <c r="D4" s="75" t="b">
        <v>1</v>
      </c>
      <c r="E4" s="76" t="b">
        <f>IF(E$7="","",E$7)</f>
        <v>1</v>
      </c>
    </row>
    <row r="5" spans="1:5" x14ac:dyDescent="0.25">
      <c r="A5" s="52"/>
      <c r="B5" s="51" t="s">
        <v>3</v>
      </c>
      <c r="C5" s="75"/>
      <c r="D5" s="75" t="b">
        <v>1</v>
      </c>
      <c r="E5" s="76" t="b">
        <f>IF(E$7="","",E$7)</f>
        <v>1</v>
      </c>
    </row>
    <row r="6" spans="1:5" x14ac:dyDescent="0.25">
      <c r="A6" s="52"/>
      <c r="B6" s="51" t="s">
        <v>4</v>
      </c>
      <c r="C6" s="75"/>
      <c r="D6" s="75" t="b">
        <v>1</v>
      </c>
      <c r="E6" s="76" t="b">
        <f>IF(E$7="","",E$7)</f>
        <v>1</v>
      </c>
    </row>
    <row r="7" spans="1:5" x14ac:dyDescent="0.25">
      <c r="A7" s="52"/>
      <c r="B7" s="51" t="s">
        <v>171</v>
      </c>
      <c r="C7" s="77"/>
      <c r="D7" s="78"/>
      <c r="E7" s="75" t="b">
        <v>1</v>
      </c>
    </row>
    <row r="8" spans="1:5" x14ac:dyDescent="0.25">
      <c r="C8" s="79"/>
      <c r="D8" s="79"/>
      <c r="E8" s="79"/>
    </row>
    <row r="9" spans="1:5" ht="13" x14ac:dyDescent="0.3">
      <c r="A9" s="54" t="s">
        <v>199</v>
      </c>
      <c r="B9" s="51" t="s">
        <v>32</v>
      </c>
      <c r="C9" s="75" t="b">
        <v>1</v>
      </c>
      <c r="D9" s="75"/>
      <c r="E9" s="76" t="b">
        <f>IF(E$7="","",E$7)</f>
        <v>1</v>
      </c>
    </row>
    <row r="10" spans="1:5" x14ac:dyDescent="0.25">
      <c r="A10" s="52"/>
      <c r="B10" s="51" t="s">
        <v>1</v>
      </c>
      <c r="C10" s="75" t="b">
        <v>1</v>
      </c>
      <c r="D10" s="75"/>
      <c r="E10" s="76" t="b">
        <f>IF(E$7="","",E$7)</f>
        <v>1</v>
      </c>
    </row>
    <row r="11" spans="1:5" x14ac:dyDescent="0.25">
      <c r="A11" s="52"/>
      <c r="B11" s="51" t="s">
        <v>2</v>
      </c>
      <c r="C11" s="75" t="b">
        <v>1</v>
      </c>
      <c r="D11" s="75"/>
      <c r="E11" s="76" t="b">
        <f>IF(E$7="","",E$7)</f>
        <v>1</v>
      </c>
    </row>
    <row r="12" spans="1:5" x14ac:dyDescent="0.25">
      <c r="A12" s="52"/>
      <c r="B12" s="51" t="s">
        <v>3</v>
      </c>
      <c r="C12" s="75" t="b">
        <v>1</v>
      </c>
      <c r="D12" s="75"/>
      <c r="E12" s="76" t="b">
        <f>IF(E$7="","",E$7)</f>
        <v>1</v>
      </c>
    </row>
    <row r="13" spans="1:5" x14ac:dyDescent="0.25">
      <c r="A13" s="52"/>
      <c r="B13" s="51" t="s">
        <v>4</v>
      </c>
      <c r="C13" s="75" t="b">
        <v>1</v>
      </c>
      <c r="D13" s="75"/>
      <c r="E13" s="76" t="b">
        <f>IF(E$7="","",E$7)</f>
        <v>1</v>
      </c>
    </row>
    <row r="14" spans="1:5" x14ac:dyDescent="0.25">
      <c r="A14" s="52"/>
      <c r="B14" s="51" t="s">
        <v>171</v>
      </c>
      <c r="C14" s="77"/>
      <c r="D14" s="78"/>
      <c r="E14" s="75"/>
    </row>
    <row r="15" spans="1:5" x14ac:dyDescent="0.25">
      <c r="C15" s="79"/>
      <c r="D15" s="79"/>
      <c r="E15" s="79"/>
    </row>
    <row r="16" spans="1:5" ht="13" x14ac:dyDescent="0.3">
      <c r="A16" s="54" t="s">
        <v>200</v>
      </c>
      <c r="B16" s="51" t="s">
        <v>32</v>
      </c>
      <c r="C16" s="75"/>
      <c r="D16" s="75"/>
      <c r="E16" s="76" t="b">
        <f>IF(E$7="","",E$7)</f>
        <v>1</v>
      </c>
    </row>
    <row r="17" spans="1:5" x14ac:dyDescent="0.25">
      <c r="A17" s="52"/>
      <c r="B17" s="51" t="s">
        <v>1</v>
      </c>
      <c r="C17" s="75"/>
      <c r="D17" s="75"/>
      <c r="E17" s="76" t="b">
        <f>IF(E$7="","",E$7)</f>
        <v>1</v>
      </c>
    </row>
    <row r="18" spans="1:5" x14ac:dyDescent="0.25">
      <c r="A18" s="52"/>
      <c r="B18" s="51" t="s">
        <v>2</v>
      </c>
      <c r="C18" s="75"/>
      <c r="D18" s="75"/>
      <c r="E18" s="76" t="b">
        <f>IF(E$7="","",E$7)</f>
        <v>1</v>
      </c>
    </row>
    <row r="19" spans="1:5" x14ac:dyDescent="0.25">
      <c r="A19" s="52"/>
      <c r="B19" s="51" t="s">
        <v>3</v>
      </c>
      <c r="C19" s="75"/>
      <c r="D19" s="75"/>
      <c r="E19" s="76" t="b">
        <f>IF(E$7="","",E$7)</f>
        <v>1</v>
      </c>
    </row>
    <row r="20" spans="1:5" x14ac:dyDescent="0.25">
      <c r="A20" s="52"/>
      <c r="B20" s="51" t="s">
        <v>4</v>
      </c>
      <c r="C20" s="75"/>
      <c r="D20" s="75"/>
      <c r="E20" s="76" t="b">
        <f>IF(E$7="","",E$7)</f>
        <v>1</v>
      </c>
    </row>
    <row r="21" spans="1:5" x14ac:dyDescent="0.25">
      <c r="A21" s="52"/>
      <c r="B21" s="51" t="s">
        <v>171</v>
      </c>
      <c r="C21" s="77"/>
      <c r="D21" s="78"/>
      <c r="E21" s="75"/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60" zoomScaleNormal="60" workbookViewId="0">
      <selection activeCell="C7" sqref="C7"/>
    </sheetView>
  </sheetViews>
  <sheetFormatPr defaultColWidth="10.81640625" defaultRowHeight="12.5" x14ac:dyDescent="0.25"/>
  <cols>
    <col min="1" max="1" width="15.54296875" customWidth="1"/>
    <col min="2" max="2" width="15.36328125" customWidth="1"/>
    <col min="3" max="3" width="21" customWidth="1"/>
    <col min="4" max="4" width="12.81640625" customWidth="1"/>
  </cols>
  <sheetData>
    <row r="1" spans="1:4" ht="13" x14ac:dyDescent="0.3">
      <c r="A1" s="71" t="s">
        <v>165</v>
      </c>
      <c r="B1" s="56" t="s">
        <v>180</v>
      </c>
      <c r="C1" s="72" t="s">
        <v>181</v>
      </c>
      <c r="D1" s="72" t="s">
        <v>185</v>
      </c>
    </row>
    <row r="2" spans="1:4" ht="13" x14ac:dyDescent="0.3">
      <c r="A2" s="72" t="s">
        <v>69</v>
      </c>
      <c r="B2" s="51" t="s">
        <v>67</v>
      </c>
      <c r="C2" s="51" t="s">
        <v>182</v>
      </c>
      <c r="D2" s="75"/>
    </row>
    <row r="3" spans="1:4" ht="13" x14ac:dyDescent="0.3">
      <c r="A3" s="72" t="s">
        <v>184</v>
      </c>
      <c r="B3" s="51" t="s">
        <v>175</v>
      </c>
      <c r="C3" s="51" t="s">
        <v>183</v>
      </c>
      <c r="D3" s="7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H39"/>
  <sheetViews>
    <sheetView zoomScale="107" zoomScaleNormal="60" workbookViewId="0">
      <selection activeCell="H1" sqref="H1:AJ1048576"/>
    </sheetView>
  </sheetViews>
  <sheetFormatPr defaultColWidth="14.36328125" defaultRowHeight="15.75" customHeight="1" x14ac:dyDescent="0.25"/>
  <cols>
    <col min="1" max="1" width="56" style="57" customWidth="1"/>
    <col min="2" max="2" width="14.36328125" style="42"/>
    <col min="3" max="3" width="20.36328125" style="42" customWidth="1"/>
    <col min="4" max="4" width="20.08984375" style="42" customWidth="1"/>
    <col min="5" max="5" width="12.08984375" style="42" customWidth="1"/>
    <col min="6" max="6" width="26.1796875" style="50" customWidth="1"/>
    <col min="7" max="7" width="15.81640625" style="42" customWidth="1"/>
    <col min="8" max="16384" width="14.36328125" style="42"/>
  </cols>
  <sheetData>
    <row r="1" spans="1:8" ht="56.65" customHeight="1" x14ac:dyDescent="0.35">
      <c r="A1" s="62" t="s">
        <v>69</v>
      </c>
      <c r="B1" s="158" t="s">
        <v>284</v>
      </c>
      <c r="C1" s="61" t="s">
        <v>201</v>
      </c>
      <c r="D1" s="60" t="s">
        <v>202</v>
      </c>
      <c r="E1" s="88" t="s">
        <v>208</v>
      </c>
      <c r="F1" s="115" t="s">
        <v>274</v>
      </c>
      <c r="G1" s="91" t="s">
        <v>209</v>
      </c>
    </row>
    <row r="2" spans="1:8" ht="15.75" customHeight="1" x14ac:dyDescent="0.25">
      <c r="A2" s="57" t="s">
        <v>29</v>
      </c>
      <c r="B2" s="142"/>
      <c r="C2" s="58">
        <v>0.95</v>
      </c>
      <c r="D2" s="59">
        <v>25</v>
      </c>
      <c r="E2" s="89"/>
      <c r="F2" s="90"/>
      <c r="G2" s="89" t="s">
        <v>212</v>
      </c>
    </row>
    <row r="3" spans="1:8" ht="15.75" customHeight="1" x14ac:dyDescent="0.25">
      <c r="A3" s="57" t="s">
        <v>86</v>
      </c>
      <c r="B3" s="142"/>
      <c r="C3" s="58">
        <v>0.95</v>
      </c>
      <c r="D3" s="59">
        <v>1</v>
      </c>
      <c r="E3" s="90"/>
      <c r="F3" s="90"/>
      <c r="G3" s="89" t="s">
        <v>210</v>
      </c>
    </row>
    <row r="4" spans="1:8" ht="15.75" customHeight="1" x14ac:dyDescent="0.25">
      <c r="A4" s="57" t="s">
        <v>61</v>
      </c>
      <c r="B4" s="142"/>
      <c r="C4" s="58">
        <v>0.95</v>
      </c>
      <c r="D4" s="59">
        <f>180</f>
        <v>180</v>
      </c>
      <c r="E4" s="90"/>
      <c r="F4" s="90"/>
      <c r="G4" s="89" t="s">
        <v>210</v>
      </c>
    </row>
    <row r="5" spans="1:8" ht="15.75" customHeight="1" x14ac:dyDescent="0.3">
      <c r="A5" s="92" t="s">
        <v>198</v>
      </c>
      <c r="B5" s="130">
        <v>8.6999999999999994E-2</v>
      </c>
      <c r="C5" s="58">
        <v>0.95</v>
      </c>
      <c r="D5" s="117">
        <f>SUM('Programs family planning'!E2:E10)</f>
        <v>0.82100000000000006</v>
      </c>
      <c r="E5" s="89" t="s">
        <v>242</v>
      </c>
      <c r="F5" s="116" t="s">
        <v>256</v>
      </c>
      <c r="G5" s="89"/>
    </row>
    <row r="6" spans="1:8" ht="15.75" customHeight="1" x14ac:dyDescent="0.3">
      <c r="A6" s="92"/>
      <c r="B6" s="130">
        <v>3.3000000000000002E-2</v>
      </c>
      <c r="C6" s="58">
        <v>0.95</v>
      </c>
      <c r="D6" s="117">
        <v>8.2000000000000003E-2</v>
      </c>
      <c r="E6" s="89" t="s">
        <v>242</v>
      </c>
      <c r="F6" s="116" t="s">
        <v>257</v>
      </c>
      <c r="G6" s="89"/>
    </row>
    <row r="7" spans="1:8" ht="15.75" customHeight="1" x14ac:dyDescent="0.25">
      <c r="A7" s="57" t="s">
        <v>63</v>
      </c>
      <c r="B7" s="131"/>
      <c r="C7" s="58">
        <v>0.95</v>
      </c>
      <c r="D7" s="59">
        <v>0.82</v>
      </c>
      <c r="E7" s="89"/>
      <c r="F7" s="90"/>
      <c r="G7" s="89"/>
    </row>
    <row r="8" spans="1:8" ht="15.75" customHeight="1" x14ac:dyDescent="0.25">
      <c r="A8" s="70" t="s">
        <v>187</v>
      </c>
      <c r="B8" s="131"/>
      <c r="C8" s="58">
        <v>0.95</v>
      </c>
      <c r="D8" s="59">
        <v>0.73</v>
      </c>
      <c r="E8" s="89"/>
      <c r="F8" s="90"/>
      <c r="G8" s="89"/>
    </row>
    <row r="9" spans="1:8" ht="15.75" customHeight="1" x14ac:dyDescent="0.25">
      <c r="A9" s="70" t="s">
        <v>188</v>
      </c>
      <c r="B9" s="131"/>
      <c r="C9" s="58">
        <v>0.95</v>
      </c>
      <c r="D9" s="59">
        <v>1.78</v>
      </c>
      <c r="E9" s="89"/>
      <c r="F9" s="90"/>
      <c r="G9" s="89"/>
    </row>
    <row r="10" spans="1:8" ht="15.75" customHeight="1" x14ac:dyDescent="0.25">
      <c r="A10" s="70" t="s">
        <v>189</v>
      </c>
      <c r="B10" s="131"/>
      <c r="C10" s="58">
        <v>0.95</v>
      </c>
      <c r="D10" s="59">
        <v>0.24</v>
      </c>
      <c r="E10" s="89"/>
      <c r="F10" s="90"/>
      <c r="G10" s="89"/>
    </row>
    <row r="11" spans="1:8" ht="15.75" customHeight="1" x14ac:dyDescent="0.25">
      <c r="A11" s="70" t="s">
        <v>190</v>
      </c>
      <c r="B11" s="131"/>
      <c r="C11" s="58">
        <v>0.95</v>
      </c>
      <c r="D11" s="59">
        <v>0.55000000000000004</v>
      </c>
      <c r="E11" s="89"/>
      <c r="F11" s="90"/>
      <c r="G11" s="89" t="s">
        <v>210</v>
      </c>
    </row>
    <row r="12" spans="1:8" ht="15.75" customHeight="1" x14ac:dyDescent="0.25">
      <c r="A12" s="14" t="s">
        <v>186</v>
      </c>
      <c r="B12" s="131"/>
      <c r="C12" s="58">
        <v>0.95</v>
      </c>
      <c r="D12" s="59">
        <v>0.73</v>
      </c>
      <c r="E12" s="89"/>
      <c r="F12" s="90"/>
      <c r="G12" s="89"/>
    </row>
    <row r="13" spans="1:8" ht="15.75" customHeight="1" x14ac:dyDescent="0.35">
      <c r="A13" s="93" t="s">
        <v>191</v>
      </c>
      <c r="B13" s="130">
        <v>0.49299999999999999</v>
      </c>
      <c r="C13" s="58">
        <v>0.95</v>
      </c>
      <c r="D13" s="59">
        <v>2</v>
      </c>
      <c r="E13" s="89" t="s">
        <v>242</v>
      </c>
      <c r="F13" s="90" t="s">
        <v>272</v>
      </c>
      <c r="G13" s="89"/>
      <c r="H13" s="99"/>
    </row>
    <row r="14" spans="1:8" ht="15.75" customHeight="1" x14ac:dyDescent="0.3">
      <c r="A14" s="92" t="s">
        <v>57</v>
      </c>
      <c r="B14" s="130">
        <v>0.253</v>
      </c>
      <c r="C14" s="58">
        <v>0.95</v>
      </c>
      <c r="D14" s="59">
        <v>2.1800000000000002</v>
      </c>
      <c r="E14" s="89" t="s">
        <v>242</v>
      </c>
      <c r="F14" s="116" t="s">
        <v>258</v>
      </c>
      <c r="G14" s="89" t="s">
        <v>212</v>
      </c>
    </row>
    <row r="15" spans="1:8" ht="15.75" customHeight="1" x14ac:dyDescent="0.35">
      <c r="A15" s="92"/>
      <c r="B15" s="130">
        <v>0.06</v>
      </c>
      <c r="C15" s="58">
        <v>0.95</v>
      </c>
      <c r="D15" s="59">
        <v>2.1800000000000002</v>
      </c>
      <c r="E15" s="89" t="s">
        <v>242</v>
      </c>
      <c r="F15" s="116" t="s">
        <v>259</v>
      </c>
      <c r="G15" s="89"/>
      <c r="H15" s="99"/>
    </row>
    <row r="16" spans="1:8" ht="15.75" customHeight="1" x14ac:dyDescent="0.35">
      <c r="A16" s="57" t="s">
        <v>47</v>
      </c>
      <c r="B16" s="131"/>
      <c r="C16" s="58">
        <v>0.95</v>
      </c>
      <c r="D16" s="59">
        <v>0.05</v>
      </c>
      <c r="E16" s="89"/>
      <c r="F16" s="90"/>
      <c r="G16" s="89"/>
      <c r="H16" s="99"/>
    </row>
    <row r="17" spans="1:8" ht="16" customHeight="1" x14ac:dyDescent="0.25">
      <c r="A17" s="57" t="s">
        <v>172</v>
      </c>
      <c r="B17" s="131"/>
      <c r="C17" s="58">
        <v>0.95</v>
      </c>
      <c r="D17" s="118">
        <v>5</v>
      </c>
      <c r="E17" s="89"/>
      <c r="F17" s="90"/>
      <c r="G17" s="89"/>
    </row>
    <row r="18" spans="1:8" ht="15.75" customHeight="1" x14ac:dyDescent="0.25">
      <c r="A18" s="57" t="s">
        <v>199</v>
      </c>
      <c r="B18" s="131"/>
      <c r="C18" s="58">
        <v>0.95</v>
      </c>
      <c r="D18" s="118">
        <f>SUMPRODUCT(('IYCF cost'!$C$2:$E$6)*('IYCF packages'!$C$9:$E$13&lt;&gt;""))</f>
        <v>4.8250000000000002</v>
      </c>
      <c r="E18" s="89"/>
      <c r="F18" s="90"/>
      <c r="G18" s="89" t="s">
        <v>210</v>
      </c>
    </row>
    <row r="19" spans="1:8" ht="15.75" customHeight="1" x14ac:dyDescent="0.25">
      <c r="A19" s="57" t="s">
        <v>200</v>
      </c>
      <c r="B19" s="131"/>
      <c r="C19" s="58">
        <v>0.95</v>
      </c>
      <c r="D19" s="118">
        <f>SUMPRODUCT(('IYCF cost'!$C$2:$E$6)*('IYCF packages'!$C$16:$E$20&lt;&gt;""))</f>
        <v>0.25</v>
      </c>
      <c r="E19" s="89"/>
      <c r="F19" s="90"/>
      <c r="G19" s="89"/>
    </row>
    <row r="20" spans="1:8" ht="15.75" customHeight="1" x14ac:dyDescent="0.25">
      <c r="A20" s="57" t="s">
        <v>196</v>
      </c>
      <c r="B20" s="131"/>
      <c r="C20" s="58">
        <v>0.95</v>
      </c>
      <c r="D20" s="59">
        <v>8.84</v>
      </c>
      <c r="E20" s="89"/>
      <c r="F20" s="90"/>
      <c r="G20" s="89"/>
    </row>
    <row r="21" spans="1:8" ht="15.75" customHeight="1" x14ac:dyDescent="0.25">
      <c r="A21" s="57" t="s">
        <v>137</v>
      </c>
      <c r="B21" s="131"/>
      <c r="C21" s="58">
        <v>0.95</v>
      </c>
      <c r="D21" s="59">
        <v>50</v>
      </c>
      <c r="E21" s="90"/>
      <c r="F21" s="90"/>
      <c r="G21" s="89"/>
    </row>
    <row r="22" spans="1:8" ht="15.75" customHeight="1" x14ac:dyDescent="0.25">
      <c r="A22" s="57" t="s">
        <v>34</v>
      </c>
      <c r="B22" s="131"/>
      <c r="C22" s="58">
        <v>0.95</v>
      </c>
      <c r="D22" s="59">
        <v>2.61</v>
      </c>
      <c r="E22" s="90"/>
      <c r="F22" s="90"/>
      <c r="G22" s="89"/>
    </row>
    <row r="23" spans="1:8" ht="15.75" customHeight="1" x14ac:dyDescent="0.25">
      <c r="A23" s="57" t="s">
        <v>88</v>
      </c>
      <c r="B23" s="131"/>
      <c r="C23" s="58">
        <v>0.95</v>
      </c>
      <c r="D23" s="59">
        <v>1</v>
      </c>
      <c r="E23" s="90"/>
      <c r="F23" s="90"/>
      <c r="G23" s="89" t="s">
        <v>210</v>
      </c>
    </row>
    <row r="24" spans="1:8" ht="15.75" customHeight="1" x14ac:dyDescent="0.25">
      <c r="A24" s="57" t="s">
        <v>87</v>
      </c>
      <c r="B24" s="131"/>
      <c r="C24" s="58">
        <v>0.95</v>
      </c>
      <c r="D24" s="59">
        <v>1</v>
      </c>
      <c r="E24" s="90"/>
      <c r="F24" s="90"/>
      <c r="G24" s="89" t="s">
        <v>210</v>
      </c>
    </row>
    <row r="25" spans="1:8" ht="15.75" customHeight="1" x14ac:dyDescent="0.25">
      <c r="A25" s="57" t="s">
        <v>138</v>
      </c>
      <c r="B25" s="131"/>
      <c r="C25" s="58">
        <v>0.95</v>
      </c>
      <c r="D25" s="59">
        <v>1</v>
      </c>
      <c r="E25" s="90"/>
      <c r="F25" s="90"/>
      <c r="G25" s="89" t="s">
        <v>210</v>
      </c>
    </row>
    <row r="26" spans="1:8" ht="15.75" customHeight="1" x14ac:dyDescent="0.3">
      <c r="A26" s="92" t="s">
        <v>59</v>
      </c>
      <c r="B26" s="131"/>
      <c r="C26" s="58">
        <v>0.95</v>
      </c>
      <c r="D26" s="59">
        <v>3.54</v>
      </c>
      <c r="E26" s="89"/>
      <c r="F26" s="90" t="s">
        <v>273</v>
      </c>
      <c r="G26" s="89"/>
    </row>
    <row r="27" spans="1:8" ht="15.75" customHeight="1" x14ac:dyDescent="0.3">
      <c r="A27" s="92" t="s">
        <v>84</v>
      </c>
      <c r="B27" s="130">
        <v>0.191</v>
      </c>
      <c r="C27" s="58">
        <v>0.95</v>
      </c>
      <c r="D27" s="59">
        <v>1</v>
      </c>
      <c r="E27" s="89" t="s">
        <v>242</v>
      </c>
      <c r="F27" s="90" t="s">
        <v>260</v>
      </c>
      <c r="G27" s="89"/>
    </row>
    <row r="28" spans="1:8" ht="15.75" customHeight="1" x14ac:dyDescent="0.25">
      <c r="A28" s="57" t="s">
        <v>58</v>
      </c>
      <c r="B28" s="131"/>
      <c r="C28" s="58">
        <v>0.95</v>
      </c>
      <c r="D28" s="59">
        <v>40.25</v>
      </c>
      <c r="E28" s="89"/>
      <c r="F28" s="90"/>
      <c r="G28" s="89"/>
    </row>
    <row r="29" spans="1:8" ht="15.75" customHeight="1" x14ac:dyDescent="0.25">
      <c r="A29" s="57" t="s">
        <v>67</v>
      </c>
      <c r="B29" s="131"/>
      <c r="C29" s="58">
        <v>0.95</v>
      </c>
      <c r="D29" s="119">
        <f>162*AVERAGE('Incidence of conditions'!B4:F4) + 0*AVERAGE('Incidence of conditions'!B3:F3)*IF(ISBLANK(manage_mam), 0, 1)</f>
        <v>2.653062984</v>
      </c>
      <c r="E29" s="89"/>
      <c r="F29" s="90"/>
      <c r="G29" s="89"/>
    </row>
    <row r="30" spans="1:8" ht="15.75" customHeight="1" x14ac:dyDescent="0.35">
      <c r="A30" s="92" t="s">
        <v>28</v>
      </c>
      <c r="B30" s="130">
        <v>0.54</v>
      </c>
      <c r="C30" s="58">
        <v>0.95</v>
      </c>
      <c r="D30" s="59">
        <v>0.55000000000000004</v>
      </c>
      <c r="E30" s="89" t="s">
        <v>242</v>
      </c>
      <c r="F30" s="116" t="s">
        <v>261</v>
      </c>
      <c r="G30" s="89"/>
      <c r="H30" s="99"/>
    </row>
    <row r="31" spans="1:8" ht="15.75" customHeight="1" x14ac:dyDescent="0.35">
      <c r="A31" s="92"/>
      <c r="B31" s="130">
        <v>0.21199999999999999</v>
      </c>
      <c r="C31" s="58">
        <v>0.95</v>
      </c>
      <c r="D31" s="59">
        <v>0.55000000000000004</v>
      </c>
      <c r="E31" s="89" t="s">
        <v>242</v>
      </c>
      <c r="F31" s="116" t="s">
        <v>262</v>
      </c>
      <c r="G31" s="89"/>
      <c r="H31" s="99"/>
    </row>
    <row r="32" spans="1:8" ht="15.75" customHeight="1" x14ac:dyDescent="0.25">
      <c r="A32" s="57" t="s">
        <v>83</v>
      </c>
      <c r="B32" s="131"/>
      <c r="C32" s="58">
        <v>0.95</v>
      </c>
      <c r="D32" s="59">
        <v>1</v>
      </c>
      <c r="E32" s="89"/>
      <c r="F32" s="90"/>
      <c r="G32" s="89" t="s">
        <v>210</v>
      </c>
    </row>
    <row r="33" spans="1:7" ht="15.75" customHeight="1" x14ac:dyDescent="0.25">
      <c r="A33" s="57" t="s">
        <v>82</v>
      </c>
      <c r="B33" s="131"/>
      <c r="C33" s="58">
        <v>0.95</v>
      </c>
      <c r="D33" s="59">
        <v>2.8</v>
      </c>
      <c r="E33" s="89"/>
      <c r="F33" s="90"/>
      <c r="G33" s="89"/>
    </row>
    <row r="34" spans="1:7" ht="15.75" customHeight="1" x14ac:dyDescent="0.25">
      <c r="A34" s="57" t="s">
        <v>81</v>
      </c>
      <c r="B34" s="131"/>
      <c r="C34" s="58">
        <v>0.95</v>
      </c>
      <c r="D34" s="59">
        <v>50.26</v>
      </c>
      <c r="E34" s="89"/>
      <c r="F34" s="90"/>
      <c r="G34" s="89"/>
    </row>
    <row r="35" spans="1:7" ht="15.75" customHeight="1" x14ac:dyDescent="0.25">
      <c r="A35" s="57" t="s">
        <v>79</v>
      </c>
      <c r="B35" s="131"/>
      <c r="C35" s="58">
        <v>0.95</v>
      </c>
      <c r="D35" s="59">
        <v>36.1</v>
      </c>
      <c r="E35" s="89"/>
      <c r="F35" s="90"/>
      <c r="G35" s="89"/>
    </row>
    <row r="36" spans="1:7" s="43" customFormat="1" ht="15.75" customHeight="1" x14ac:dyDescent="0.25">
      <c r="A36" s="57" t="s">
        <v>80</v>
      </c>
      <c r="B36" s="131"/>
      <c r="C36" s="58">
        <v>0.95</v>
      </c>
      <c r="D36" s="59">
        <v>231.85</v>
      </c>
      <c r="E36" s="89"/>
      <c r="F36" s="90"/>
      <c r="G36" s="89"/>
    </row>
    <row r="37" spans="1:7" ht="15.75" customHeight="1" x14ac:dyDescent="0.3">
      <c r="A37" s="92" t="s">
        <v>85</v>
      </c>
      <c r="B37" s="131">
        <v>2.4199999999999999E-2</v>
      </c>
      <c r="C37" s="58">
        <v>0.95</v>
      </c>
      <c r="D37" s="59">
        <v>0.92</v>
      </c>
      <c r="E37" s="89" t="s">
        <v>242</v>
      </c>
      <c r="F37" s="90"/>
      <c r="G37" s="89"/>
    </row>
    <row r="38" spans="1:7" ht="15.75" customHeight="1" x14ac:dyDescent="0.25">
      <c r="A38" s="57" t="s">
        <v>60</v>
      </c>
      <c r="B38" s="142"/>
      <c r="C38" s="58">
        <v>0.95</v>
      </c>
      <c r="D38" s="59">
        <v>4.6100000000000003</v>
      </c>
      <c r="E38" s="89"/>
      <c r="F38" s="90"/>
      <c r="G38" s="89" t="s">
        <v>212</v>
      </c>
    </row>
    <row r="39" spans="1:7" ht="15.75" customHeight="1" x14ac:dyDescent="0.25">
      <c r="G39" s="43"/>
    </row>
  </sheetData>
  <sortState ref="A2:D38">
    <sortCondition ref="A2:A38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45</vt:i4>
      </vt:variant>
    </vt:vector>
  </HeadingPairs>
  <TitlesOfParts>
    <vt:vector size="60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Programs family planning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Avril Dawn Kaplan</cp:lastModifiedBy>
  <dcterms:created xsi:type="dcterms:W3CDTF">2017-08-01T10:42:13Z</dcterms:created>
  <dcterms:modified xsi:type="dcterms:W3CDTF">2018-11-06T16:34:31Z</dcterms:modified>
</cp:coreProperties>
</file>