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D984D807-F939-49C3-801B-540181CBECE6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C6" i="5" l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<sst xmlns="http://schemas.openxmlformats.org/spreadsheetml/2006/main" count="434" uniqueCount="259">
  <si>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</si>
  <si>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</si>
  <si>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</si>
  <si>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</si>
  <si>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</si>
  <si>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</si>
  <si>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</si>
  <si>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</si>
  <si>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</si>
  <si>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</si>
  <si>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</si>
  <si>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</si>
  <si>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</si>
  <si>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</si>
  <si>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</si>
  <si>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</si>
  <si>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</si>
  <si>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</si>
  <si>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</si>
  <si>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</si>
  <si>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</si>
  <si>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</si>
  <si>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</si>
  <si>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</si>
  <si>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</si>
  <si>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</si>
  <si>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</si>
  <si>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</si>
  <si>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</si>
  <si>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</si>
  <si>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</si>
  <si>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</si>
  <si>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</si>
  <si>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</si>
  <si>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</si>
  <si>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</si>
  <si>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</si>
  <si>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</si>
  <si>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</si>
  <si>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</si>
  <si>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</si>
  <si>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</si>
  <si>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</si>
  <si>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</si>
  <si>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</si>
  <si>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</si>
  <si>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</si>
  <si>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</si>
  <si>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</si>
  <si>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</si>
  <si>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</si>
  <si>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</si>
  <si>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</si>
  <si>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</si>
  <si>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</si>
  <si>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</si>
  <si>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</si>
  <si>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</si>
  <si>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</si>
  <si>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</si>
  <si>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</si>
  <si>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</si>
  <si>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</si>
  <si>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</si>
  <si>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</si>
  <si>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</si>
  <si>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</si>
  <si>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</si>
  <si>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</si>
  <si>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</si>
  <si>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</si>
  <si>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</si>
  <si>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</si>
  <si>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</si>
  <si>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</si>
  <si>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</si>
  <si>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</si>
  <si>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</si>
  <si>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</si>
  <si>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</si>
  <si>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</si>
  <si>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</si>
  <si>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</si>
  <si>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</si>
  <si>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</si>
  <si>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</si>
  <si>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</si>
  <si>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</si>
  <si>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</si>
  <si>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</si>
  <si>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</si>
  <si>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</si>
  <si>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</si>
  <si>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</si>
  <si>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</si>
  <si>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</si>
  <si>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</si>
  <si>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</si>
  <si>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</si>
  <si>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</si>
  <si>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</si>
  <si>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</si>
  <si>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</si>
  <si>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</si>
  <si>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</si>
  <si>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</si>
  <si>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</si>
  <si>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</si>
  <si>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</si>
  <si>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</si>
  <si>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</si>
  <si>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</si>
  <si>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</si>
  <si>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</si>
  <si>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</si>
  <si>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</si>
  <si>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</si>
  <si>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</si>
  <si>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</si>
  <si>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</si>
  <si>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</si>
  <si>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</si>
  <si>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</si>
  <si>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</si>
  <si>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</si>
  <si>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</si>
  <si>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</si>
  <si>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</si>
  <si>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</si>
  <si>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</si>
  <si>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</si>
  <si>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</si>
  <si>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</si>
  <si>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</si>
  <si>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</si>
  <si>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</si>
  <si>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</si>
  <si>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</si>
  <si>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</si>
  <si>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</si>
  <si>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</si>
  <si>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</si>
  <si>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</si>
  <si>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</si>
  <si>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</si>
  <si>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</si>
  <si>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</si>
  <si>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</si>
  <si>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</si>
  <si>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</si>
  <si>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</si>
  <si>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</si>
  <si>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</si>
  <si>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</si>
  <si>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</si>
  <si>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</si>
  <si>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</si>
  <si>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</si>
  <si>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</si>
  <si>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</si>
  <si>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</si>
  <si>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</si>
  <si>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</si>
  <si>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</si>
  <si>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</si>
  <si>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</si>
  <si>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</si>
  <si>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</si>
  <si>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</si>
  <si>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</si>
  <si>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</si>
  <si>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</si>
  <si>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</si>
  <si>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</si>
  <si>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</si>
  <si>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</si>
  <si>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</si>
  <si>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</si>
  <si>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</si>
  <si>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</si>
  <si>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</si>
  <si>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</si>
  <si>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</si>
  <si>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</si>
  <si>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</si>
  <si>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</si>
  <si>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</si>
  <si>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</si>
  <si>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</si>
  <si>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</si>
  <si>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</si>
  <si>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</si>
  <si>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</si>
  <si>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</si>
  <si>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</si>
  <si>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</si>
  <si>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</si>
  <si>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</si>
  <si>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</si>
  <si>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</si>
  <si>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</si>
  <si>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</si>
  <si>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</si>
  <si>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</si>
  <si>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</si>
  <si>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</si>
  <si>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</si>
  <si>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</si>
  <si>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</si>
  <si>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</si>
  <si>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</si>
  <si>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</si>
  <si>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</si>
  <si>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Sud-Ubangi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</si>
  <si>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</si>
  <si>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</si>
  <si>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</si>
  <si>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</si>
  <si>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</si>
  <si>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</si>
  <si>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</si>
  <si>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</si>
  <si>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</si>
  <si>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</si>
  <si>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</si>
  <si>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</si>
  <si>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</si>
  <si>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</si>
  <si>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</si>
  <si>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</si>
  <si>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</si>
  <si>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</si>
  <si>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</si>
  <si>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</si>
  <si>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</si>
  <si>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</si>
  <si>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</si>
  <si>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</si>
  <si>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</si>
  <si>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</si>
  <si>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</si>
  <si>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</si>
  <si>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</si>
  <si>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</si>
  <si>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</si>
  <si>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</si>
  <si>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</si>
  <si>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</si>
  <si>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</si>
  <si>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</si>
  <si>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</si>
  <si>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</si>
  <si>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</si>
  <si>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</si>
  <si>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</si>
  <si>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</si>
  <si>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</si>
  <si>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</si>
  <si>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Sud-Ubangi Baseine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</si>
</sst>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/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  <xf numFmtId="0" fontId="26" fillId="0" borderId="0" xfId="727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19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H72"/>
  <sheetViews>
    <sheetView tabSelected="1" zoomScale="119" zoomScaleNormal="115" workbookViewId="0">
      <selection activeCell="F1" sqref="F1:AF1048576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6" width="19.90625" style="15" customWidth="1"/>
    <col min="7" max="16384" width="14.36328125" style="15"/>
  </cols>
  <sheetData>
    <row r="1" spans="1:7" ht="27" customHeight="1" x14ac:dyDescent="0.35">
      <c r="A1" s="1" t="s">
        <v>100</v>
      </c>
      <c r="B1" s="48" t="s">
        <v>165</v>
      </c>
      <c r="C1" s="95" t="s">
        <v>213</v>
      </c>
      <c r="D1" s="110" t="s">
        <v>214</v>
      </c>
      <c r="E1" s="110" t="s">
        <v>215</v>
      </c>
      <c r="F1" s="95"/>
      <c r="G1" s="96"/>
    </row>
    <row r="2" spans="1:7" ht="16" customHeight="1" x14ac:dyDescent="0.3">
      <c r="A2" s="15" t="s">
        <v>192</v>
      </c>
      <c r="B2" s="48"/>
    </row>
    <row r="3" spans="1:7" ht="16" customHeight="1" x14ac:dyDescent="0.3">
      <c r="A3" s="1"/>
      <c r="B3" s="9" t="s">
        <v>194</v>
      </c>
      <c r="C3" s="73">
        <v>2017</v>
      </c>
    </row>
    <row r="4" spans="1:7" ht="16" customHeight="1" x14ac:dyDescent="0.3">
      <c r="A4" s="1"/>
      <c r="B4" s="12" t="s">
        <v>193</v>
      </c>
      <c r="C4" s="74">
        <v>2030</v>
      </c>
    </row>
    <row r="5" spans="1:7" ht="16" customHeight="1" x14ac:dyDescent="0.3">
      <c r="A5" s="1"/>
      <c r="B5" s="48"/>
    </row>
    <row r="6" spans="1:7" ht="15" customHeight="1" x14ac:dyDescent="0.25">
      <c r="A6" s="15" t="s">
        <v>48</v>
      </c>
    </row>
    <row r="7" spans="1:7" ht="15" customHeight="1" x14ac:dyDescent="0.35">
      <c r="B7" s="9" t="s">
        <v>106</v>
      </c>
      <c r="C7" s="135">
        <v>0.6</v>
      </c>
      <c r="D7" s="108" t="s">
        <v>203</v>
      </c>
      <c r="E7" s="112" t="s">
        <v>251</v>
      </c>
      <c r="F7" s="98"/>
    </row>
    <row r="8" spans="1:7" ht="38.25" customHeight="1" x14ac:dyDescent="0.3">
      <c r="A8" s="107"/>
      <c r="B8" s="12" t="s">
        <v>107</v>
      </c>
      <c r="C8" s="129">
        <v>0.1691</v>
      </c>
      <c r="D8" s="108" t="s">
        <v>216</v>
      </c>
      <c r="E8" s="111" t="s">
        <v>227</v>
      </c>
      <c r="F8" s="98"/>
    </row>
    <row r="9" spans="1:7" ht="38.25" customHeight="1" x14ac:dyDescent="0.3">
      <c r="A9" s="107"/>
      <c r="B9" s="12"/>
      <c r="C9" s="130">
        <v>0.23619999999999999</v>
      </c>
      <c r="D9" s="108" t="s">
        <v>216</v>
      </c>
      <c r="E9" s="111" t="s">
        <v>228</v>
      </c>
      <c r="F9" s="98"/>
      <c r="G9" s="16"/>
    </row>
    <row r="10" spans="1:7" ht="15" customHeight="1" x14ac:dyDescent="0.3">
      <c r="A10" s="107"/>
      <c r="B10" s="12" t="s">
        <v>105</v>
      </c>
      <c r="C10" s="129">
        <v>0.43280000000000002</v>
      </c>
      <c r="D10" s="108" t="s">
        <v>216</v>
      </c>
      <c r="E10" s="112"/>
    </row>
    <row r="11" spans="1:7" ht="15" customHeight="1" x14ac:dyDescent="0.3">
      <c r="A11" s="107"/>
      <c r="B11" s="9" t="s">
        <v>108</v>
      </c>
      <c r="C11" s="129">
        <v>0.54549999999999998</v>
      </c>
      <c r="D11" s="108" t="s">
        <v>216</v>
      </c>
      <c r="E11" s="112" t="s">
        <v>238</v>
      </c>
      <c r="F11" s="98"/>
    </row>
    <row r="12" spans="1:7" ht="15" customHeight="1" x14ac:dyDescent="0.3">
      <c r="A12" s="107"/>
      <c r="B12" s="9" t="s">
        <v>109</v>
      </c>
      <c r="C12" s="129">
        <v>0.41899999999999998</v>
      </c>
      <c r="D12" s="108" t="s">
        <v>216</v>
      </c>
      <c r="E12" s="112" t="s">
        <v>239</v>
      </c>
      <c r="F12" s="98"/>
    </row>
    <row r="13" spans="1:7" ht="15" customHeight="1" x14ac:dyDescent="0.3">
      <c r="A13" s="107"/>
      <c r="B13" s="9" t="s">
        <v>110</v>
      </c>
      <c r="C13" s="129">
        <v>0.36099999999999999</v>
      </c>
      <c r="D13" s="108" t="s">
        <v>216</v>
      </c>
      <c r="E13" s="112"/>
      <c r="F13" s="98"/>
    </row>
    <row r="14" spans="1:7" ht="15" customHeight="1" x14ac:dyDescent="0.25">
      <c r="B14" s="15"/>
    </row>
    <row r="15" spans="1:7" ht="15" customHeight="1" x14ac:dyDescent="0.3">
      <c r="A15" s="15" t="s">
        <v>30</v>
      </c>
      <c r="B15" s="21"/>
    </row>
    <row r="16" spans="1:7" ht="15" customHeight="1" x14ac:dyDescent="0.25">
      <c r="B16" s="12" t="s">
        <v>94</v>
      </c>
      <c r="C16" s="130">
        <v>0.59699999999999998</v>
      </c>
      <c r="D16" s="108" t="s">
        <v>249</v>
      </c>
      <c r="E16" s="112" t="s">
        <v>253</v>
      </c>
    </row>
    <row r="17" spans="1:8" ht="15" customHeight="1" x14ac:dyDescent="0.25">
      <c r="B17" s="12" t="s">
        <v>95</v>
      </c>
      <c r="C17" s="130"/>
      <c r="D17" s="145"/>
      <c r="E17" s="112"/>
    </row>
    <row r="18" spans="1:8" ht="15" customHeight="1" x14ac:dyDescent="0.25">
      <c r="B18" s="12" t="s">
        <v>96</v>
      </c>
      <c r="C18" s="130"/>
      <c r="D18" s="145"/>
      <c r="E18" s="112"/>
    </row>
    <row r="19" spans="1:8" ht="15" customHeight="1" x14ac:dyDescent="0.25">
      <c r="B19" s="12" t="s">
        <v>97</v>
      </c>
      <c r="C19" s="130"/>
      <c r="D19" s="145"/>
      <c r="E19" s="112"/>
    </row>
    <row r="20" spans="1:8" ht="15" customHeight="1" x14ac:dyDescent="0.25">
      <c r="B20" s="12" t="s">
        <v>98</v>
      </c>
      <c r="C20" s="106"/>
    </row>
    <row r="21" spans="1:8" ht="15" customHeight="1" x14ac:dyDescent="0.25">
      <c r="B21" s="15"/>
      <c r="C21" s="106"/>
    </row>
    <row r="22" spans="1:8" ht="15" customHeight="1" x14ac:dyDescent="0.25">
      <c r="A22" s="15" t="s">
        <v>99</v>
      </c>
      <c r="C22" s="106"/>
    </row>
    <row r="23" spans="1:8" ht="15" customHeight="1" x14ac:dyDescent="0.35">
      <c r="A23" s="107"/>
      <c r="B23" s="22" t="s">
        <v>101</v>
      </c>
      <c r="C23" s="129">
        <v>0.19309999999999999</v>
      </c>
      <c r="D23" s="146" t="s">
        <v>216</v>
      </c>
      <c r="E23" s="113" t="s">
        <v>217</v>
      </c>
      <c r="F23" s="103"/>
      <c r="G23" s="99"/>
    </row>
    <row r="24" spans="1:8" ht="15" customHeight="1" x14ac:dyDescent="0.35">
      <c r="A24" s="107"/>
      <c r="B24" s="22" t="s">
        <v>102</v>
      </c>
      <c r="C24" s="129">
        <v>0.5081</v>
      </c>
      <c r="D24" s="146"/>
      <c r="E24" s="113" t="s">
        <v>217</v>
      </c>
      <c r="F24" s="103"/>
      <c r="G24" s="99"/>
    </row>
    <row r="25" spans="1:8" ht="15" customHeight="1" x14ac:dyDescent="0.35">
      <c r="A25" s="107"/>
      <c r="B25" s="22" t="s">
        <v>103</v>
      </c>
      <c r="C25" s="129">
        <v>0.26669999999999999</v>
      </c>
      <c r="D25" s="146"/>
      <c r="E25" s="113" t="s">
        <v>217</v>
      </c>
      <c r="F25" s="103"/>
      <c r="G25" s="99"/>
    </row>
    <row r="26" spans="1:8" ht="15" customHeight="1" x14ac:dyDescent="0.35">
      <c r="A26" s="107"/>
      <c r="B26" s="22" t="s">
        <v>104</v>
      </c>
      <c r="C26" s="129">
        <v>3.2099999999999997E-2</v>
      </c>
      <c r="D26" s="146"/>
      <c r="E26" s="113" t="s">
        <v>217</v>
      </c>
      <c r="F26" s="103"/>
      <c r="G26" s="99"/>
    </row>
    <row r="27" spans="1:8" ht="15" customHeight="1" x14ac:dyDescent="0.25">
      <c r="B27" s="22"/>
      <c r="C27" s="106"/>
    </row>
    <row r="28" spans="1:8" ht="15" customHeight="1" x14ac:dyDescent="0.25">
      <c r="A28" s="15" t="s">
        <v>197</v>
      </c>
      <c r="B28" s="22"/>
      <c r="C28" s="106"/>
      <c r="D28"/>
    </row>
    <row r="29" spans="1:8" ht="14.25" customHeight="1" x14ac:dyDescent="0.3">
      <c r="A29" s="107"/>
      <c r="B29" s="34" t="s">
        <v>75</v>
      </c>
      <c r="C29" s="132">
        <v>0.21360000000000001</v>
      </c>
      <c r="D29" s="146" t="s">
        <v>216</v>
      </c>
      <c r="E29" s="141"/>
      <c r="F29" s="98"/>
    </row>
    <row r="30" spans="1:8" ht="14.25" customHeight="1" x14ac:dyDescent="0.35">
      <c r="A30" s="107"/>
      <c r="B30" s="34" t="s">
        <v>76</v>
      </c>
      <c r="C30" s="132">
        <v>0.1178</v>
      </c>
      <c r="D30" s="146"/>
      <c r="E30" s="142"/>
      <c r="F30" s="98"/>
      <c r="G30" s="99"/>
      <c r="H30" s="98"/>
    </row>
    <row r="31" spans="1:8" ht="14.25" customHeight="1" x14ac:dyDescent="0.35">
      <c r="A31" s="107"/>
      <c r="B31" s="34" t="s">
        <v>77</v>
      </c>
      <c r="C31" s="132">
        <v>0.15659999999999999</v>
      </c>
      <c r="D31" s="146"/>
      <c r="E31" s="142"/>
      <c r="F31" s="98"/>
      <c r="G31" s="99"/>
      <c r="H31" s="98"/>
    </row>
    <row r="32" spans="1:8" ht="14.25" customHeight="1" x14ac:dyDescent="0.3">
      <c r="A32" s="107"/>
      <c r="B32" s="34" t="s">
        <v>78</v>
      </c>
      <c r="C32" s="132">
        <v>0.51200000000000001</v>
      </c>
      <c r="D32" s="146"/>
      <c r="E32" s="143"/>
      <c r="F32" s="98"/>
    </row>
    <row r="33" spans="1:7" ht="13" x14ac:dyDescent="0.25">
      <c r="B33" s="36" t="s">
        <v>130</v>
      </c>
      <c r="C33" s="134"/>
    </row>
    <row r="34" spans="1:7" ht="15" customHeight="1" x14ac:dyDescent="0.25">
      <c r="C34" s="134"/>
    </row>
    <row r="35" spans="1:7" ht="15" customHeight="1" x14ac:dyDescent="0.3">
      <c r="A35" s="4" t="s">
        <v>136</v>
      </c>
      <c r="C35" s="134"/>
    </row>
    <row r="36" spans="1:7" ht="15" customHeight="1" x14ac:dyDescent="0.25">
      <c r="A36" s="15" t="s">
        <v>74</v>
      </c>
      <c r="B36" s="9"/>
      <c r="C36" s="134"/>
      <c r="D36"/>
    </row>
    <row r="37" spans="1:7" ht="15" customHeight="1" x14ac:dyDescent="0.3">
      <c r="A37" s="107"/>
      <c r="B37" s="49" t="s">
        <v>92</v>
      </c>
      <c r="C37" s="133">
        <v>30.543899999999997</v>
      </c>
      <c r="D37" s="146" t="s">
        <v>216</v>
      </c>
      <c r="E37" s="125"/>
      <c r="F37" s="100"/>
      <c r="G37" s="100"/>
    </row>
    <row r="38" spans="1:7" ht="15" customHeight="1" x14ac:dyDescent="0.3">
      <c r="A38" s="107"/>
      <c r="B38" s="19" t="s">
        <v>91</v>
      </c>
      <c r="C38" s="133">
        <v>61.786700000000003</v>
      </c>
      <c r="D38" s="146"/>
      <c r="E38" s="125"/>
      <c r="F38" s="100"/>
      <c r="G38" s="100"/>
    </row>
    <row r="39" spans="1:7" ht="15" customHeight="1" x14ac:dyDescent="0.3">
      <c r="A39" s="107"/>
      <c r="B39" s="19" t="s">
        <v>90</v>
      </c>
      <c r="C39" s="133">
        <v>125.91730000000001</v>
      </c>
      <c r="D39" s="146"/>
      <c r="E39" s="125"/>
      <c r="F39" s="100"/>
      <c r="G39" s="119"/>
    </row>
    <row r="40" spans="1:7" ht="15" customHeight="1" x14ac:dyDescent="0.35">
      <c r="B40" s="19" t="s">
        <v>237</v>
      </c>
      <c r="C40" s="131">
        <v>846</v>
      </c>
      <c r="D40" s="146"/>
      <c r="E40" s="125" t="s">
        <v>245</v>
      </c>
      <c r="F40" s="98"/>
      <c r="G40" s="120"/>
    </row>
    <row r="41" spans="1:7" ht="26.65" customHeight="1" x14ac:dyDescent="0.25">
      <c r="B41" s="19" t="s">
        <v>89</v>
      </c>
      <c r="C41" s="130">
        <v>0.13</v>
      </c>
      <c r="D41" s="105" t="s">
        <v>205</v>
      </c>
      <c r="E41" s="124" t="s">
        <v>254</v>
      </c>
      <c r="F41" s="98"/>
      <c r="G41" s="121"/>
    </row>
    <row r="42" spans="1:7" ht="15" customHeight="1" x14ac:dyDescent="0.25">
      <c r="B42" s="49" t="s">
        <v>93</v>
      </c>
      <c r="C42" s="133">
        <v>27.27</v>
      </c>
      <c r="D42" s="109" t="s">
        <v>240</v>
      </c>
      <c r="E42" s="125" t="s">
        <v>255</v>
      </c>
      <c r="G42" s="122"/>
    </row>
    <row r="43" spans="1:7" ht="15.75" customHeight="1" x14ac:dyDescent="0.25">
      <c r="C43" s="134"/>
      <c r="D43" s="85"/>
      <c r="G43" s="123"/>
    </row>
    <row r="44" spans="1:7" ht="15.75" customHeight="1" x14ac:dyDescent="0.25">
      <c r="A44" s="15" t="s">
        <v>134</v>
      </c>
      <c r="C44" s="134"/>
      <c r="D44"/>
    </row>
    <row r="45" spans="1:7" ht="15.75" customHeight="1" x14ac:dyDescent="0.25">
      <c r="B45" s="19" t="s">
        <v>9</v>
      </c>
      <c r="C45" s="130">
        <v>1.9099999999999999E-2</v>
      </c>
      <c r="D45" s="147" t="s">
        <v>241</v>
      </c>
      <c r="E45" s="144" t="s">
        <v>256</v>
      </c>
    </row>
    <row r="46" spans="1:7" ht="15.75" customHeight="1" x14ac:dyDescent="0.25">
      <c r="B46" s="19" t="s">
        <v>11</v>
      </c>
      <c r="C46" s="130">
        <v>9.98E-2</v>
      </c>
      <c r="D46" s="147"/>
      <c r="E46" s="144"/>
    </row>
    <row r="47" spans="1:7" ht="15.75" customHeight="1" x14ac:dyDescent="0.25">
      <c r="B47" s="19" t="s">
        <v>12</v>
      </c>
      <c r="C47" s="130">
        <v>0.2</v>
      </c>
      <c r="D47" s="147"/>
      <c r="E47" s="144"/>
    </row>
    <row r="48" spans="1:7" ht="15" customHeight="1" x14ac:dyDescent="0.25">
      <c r="B48" s="19" t="s">
        <v>26</v>
      </c>
      <c r="C48" s="126"/>
      <c r="D48" s="85"/>
      <c r="E48" s="20"/>
    </row>
    <row r="49" spans="1:7" ht="15.75" customHeight="1" x14ac:dyDescent="0.25">
      <c r="D49" s="85"/>
    </row>
    <row r="50" spans="1:7" ht="15.75" customHeight="1" x14ac:dyDescent="0.25">
      <c r="A50" s="15" t="s">
        <v>72</v>
      </c>
      <c r="D50"/>
    </row>
    <row r="51" spans="1:7" ht="15.75" customHeight="1" x14ac:dyDescent="0.25">
      <c r="B51" s="19" t="s">
        <v>125</v>
      </c>
      <c r="C51" s="7">
        <v>3.3</v>
      </c>
      <c r="D51" s="147" t="s">
        <v>242</v>
      </c>
      <c r="E51" s="144" t="s">
        <v>257</v>
      </c>
    </row>
    <row r="52" spans="1:7" ht="15" customHeight="1" x14ac:dyDescent="0.25">
      <c r="B52" s="19" t="s">
        <v>126</v>
      </c>
      <c r="C52" s="7">
        <v>3.3</v>
      </c>
      <c r="D52" s="147"/>
      <c r="E52" s="144"/>
    </row>
    <row r="53" spans="1:7" ht="15.75" customHeight="1" x14ac:dyDescent="0.25">
      <c r="B53" s="19" t="s">
        <v>127</v>
      </c>
      <c r="C53" s="7">
        <v>3.3</v>
      </c>
      <c r="D53" s="147"/>
      <c r="E53" s="144"/>
    </row>
    <row r="54" spans="1:7" ht="15.75" customHeight="1" x14ac:dyDescent="0.25">
      <c r="B54" s="19" t="s">
        <v>128</v>
      </c>
      <c r="C54" s="7">
        <v>3.3</v>
      </c>
      <c r="D54" s="147"/>
      <c r="E54" s="144"/>
    </row>
    <row r="55" spans="1:7" ht="15.75" customHeight="1" x14ac:dyDescent="0.25">
      <c r="B55" s="19" t="s">
        <v>129</v>
      </c>
      <c r="C55" s="7">
        <v>3.3</v>
      </c>
      <c r="D55" s="147"/>
      <c r="E55" s="144"/>
    </row>
    <row r="57" spans="1:7" ht="15.75" customHeight="1" x14ac:dyDescent="0.25">
      <c r="A57" s="15" t="s">
        <v>135</v>
      </c>
      <c r="D57"/>
    </row>
    <row r="58" spans="1:7" ht="15.75" customHeight="1" x14ac:dyDescent="0.35">
      <c r="B58" s="9" t="s">
        <v>111</v>
      </c>
      <c r="C58" s="129">
        <v>0.27060000000000001</v>
      </c>
      <c r="D58" s="108" t="s">
        <v>216</v>
      </c>
      <c r="E58" s="128" t="s">
        <v>218</v>
      </c>
      <c r="F58" s="98"/>
      <c r="G58" s="99"/>
    </row>
    <row r="59" spans="1:7" ht="65.650000000000006" customHeight="1" x14ac:dyDescent="0.25">
      <c r="B59" s="19" t="s">
        <v>133</v>
      </c>
      <c r="C59" s="136">
        <v>0.43519999999999998</v>
      </c>
      <c r="D59" s="105" t="s">
        <v>243</v>
      </c>
      <c r="E59" s="127" t="s">
        <v>244</v>
      </c>
    </row>
    <row r="60" spans="1:7" ht="15.75" customHeight="1" x14ac:dyDescent="0.25">
      <c r="C60" s="106"/>
    </row>
    <row r="61" spans="1:7" ht="15.75" customHeight="1" x14ac:dyDescent="0.3">
      <c r="A61" s="101" t="s">
        <v>219</v>
      </c>
      <c r="C61" s="97"/>
      <c r="F61" s="98"/>
    </row>
    <row r="62" spans="1:7" ht="15.75" customHeight="1" x14ac:dyDescent="0.3">
      <c r="A62" s="107"/>
      <c r="B62" s="29" t="s">
        <v>220</v>
      </c>
      <c r="C62" s="129">
        <v>0.17600000000000002</v>
      </c>
      <c r="D62" s="108" t="s">
        <v>216</v>
      </c>
      <c r="E62" s="112"/>
      <c r="F62" s="98"/>
    </row>
    <row r="63" spans="1:7" ht="15.75" customHeight="1" x14ac:dyDescent="0.3">
      <c r="A63" s="107"/>
      <c r="B63" s="29" t="s">
        <v>221</v>
      </c>
      <c r="C63" s="129">
        <v>4.7E-2</v>
      </c>
      <c r="D63" s="108" t="s">
        <v>216</v>
      </c>
      <c r="E63" s="112"/>
      <c r="F63" s="98"/>
    </row>
    <row r="64" spans="1:7" ht="15.75" customHeight="1" x14ac:dyDescent="0.3">
      <c r="A64" s="107"/>
      <c r="B64" s="102" t="s">
        <v>222</v>
      </c>
      <c r="C64" s="129">
        <v>0</v>
      </c>
      <c r="D64" s="108" t="s">
        <v>216</v>
      </c>
      <c r="E64" s="112"/>
      <c r="F64" s="98"/>
    </row>
    <row r="65" spans="1:6" ht="15.75" customHeight="1" x14ac:dyDescent="0.3">
      <c r="A65" s="107"/>
      <c r="B65" s="102" t="s">
        <v>223</v>
      </c>
      <c r="C65" s="129">
        <v>0.1103</v>
      </c>
      <c r="D65" s="108" t="s">
        <v>216</v>
      </c>
      <c r="E65" s="112"/>
      <c r="F65" s="98"/>
    </row>
    <row r="66" spans="1:6" ht="15.75" customHeight="1" x14ac:dyDescent="0.3">
      <c r="A66" s="107"/>
      <c r="B66" s="102" t="s">
        <v>224</v>
      </c>
      <c r="C66" s="129">
        <v>0.32269999999999999</v>
      </c>
      <c r="D66" s="108" t="s">
        <v>216</v>
      </c>
      <c r="E66" s="112"/>
      <c r="F66" s="98"/>
    </row>
    <row r="67" spans="1:6" ht="15.75" customHeight="1" x14ac:dyDescent="0.3">
      <c r="A67" s="107"/>
      <c r="B67" s="102" t="s">
        <v>225</v>
      </c>
      <c r="C67" s="129">
        <v>0.25569999999999998</v>
      </c>
      <c r="D67" s="108" t="s">
        <v>216</v>
      </c>
      <c r="E67" s="112"/>
      <c r="F67" s="98"/>
    </row>
    <row r="68" spans="1:6" ht="15.75" customHeight="1" x14ac:dyDescent="0.3">
      <c r="A68" s="107"/>
      <c r="B68" s="102" t="s">
        <v>226</v>
      </c>
      <c r="C68" s="129">
        <v>0.1351</v>
      </c>
      <c r="D68" s="108" t="s">
        <v>216</v>
      </c>
      <c r="E68" s="112"/>
      <c r="F68" s="98"/>
    </row>
    <row r="69" spans="1:6" ht="15.75" customHeight="1" x14ac:dyDescent="0.25">
      <c r="B69" s="102"/>
      <c r="C69" s="97"/>
      <c r="F69" s="98"/>
    </row>
    <row r="70" spans="1:6" ht="15.75" customHeight="1" x14ac:dyDescent="0.3">
      <c r="A70" s="107"/>
      <c r="B70" s="19" t="s">
        <v>229</v>
      </c>
      <c r="C70" s="129">
        <v>0.17599999999999999</v>
      </c>
      <c r="D70" s="108" t="s">
        <v>216</v>
      </c>
      <c r="E70" s="112"/>
      <c r="F70" s="98"/>
    </row>
    <row r="71" spans="1:6" ht="15.75" customHeight="1" x14ac:dyDescent="0.25">
      <c r="C71" s="106"/>
    </row>
    <row r="72" spans="1:6" ht="15.75" customHeight="1" x14ac:dyDescent="0.25">
      <c r="B72" s="19" t="s">
        <v>250</v>
      </c>
      <c r="C72" s="129">
        <v>0.90650000000000008</v>
      </c>
      <c r="D72" s="108" t="s">
        <v>252</v>
      </c>
      <c r="E72" s="112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5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5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5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5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5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0.11738064000000001</v>
      </c>
      <c r="C3" s="30">
        <f>frac_mam_1_5months * 2.6</f>
        <v>0.11738064000000001</v>
      </c>
      <c r="D3" s="30">
        <f>frac_mam_6_11months * 2.6</f>
        <v>0.20855978000000003</v>
      </c>
      <c r="E3" s="30">
        <f>frac_mam_12_23months * 2.6</f>
        <v>0.20656870000000002</v>
      </c>
      <c r="F3" s="30">
        <f>frac_mam_24_59months * 2.6</f>
        <v>7.2047299999999995E-2</v>
      </c>
    </row>
    <row r="4" spans="1:6" ht="15.75" customHeight="1" x14ac:dyDescent="0.25">
      <c r="A4" s="3" t="s">
        <v>66</v>
      </c>
      <c r="B4" s="30">
        <f>frac_sam_1month * 2.6</f>
        <v>0.19049758</v>
      </c>
      <c r="C4" s="30">
        <f>frac_sam_1_5months * 2.6</f>
        <v>0.19049758</v>
      </c>
      <c r="D4" s="30">
        <f>frac_sam_6_11months * 2.6</f>
        <v>6.8129100000000012E-2</v>
      </c>
      <c r="E4" s="30">
        <f>frac_sam_12_23months * 2.6</f>
        <v>1.4056639999999999E-2</v>
      </c>
      <c r="F4" s="30">
        <f>frac_sam_24_59months * 2.6</f>
        <v>3.4091460000000004E-2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0.6</v>
      </c>
      <c r="E2" s="40">
        <f>food_insecure</f>
        <v>0.6</v>
      </c>
      <c r="F2" s="40">
        <f>food_insecure</f>
        <v>0.6</v>
      </c>
      <c r="G2" s="40">
        <f>food_insecure</f>
        <v>0.6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0.6</v>
      </c>
      <c r="F5" s="40">
        <f>food_insecure</f>
        <v>0.6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0.6</v>
      </c>
      <c r="F8" s="40">
        <f>food_insecure</f>
        <v>0.6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0.41899999999999998</v>
      </c>
      <c r="E9" s="40">
        <f>IF(ISBLANK(comm_deliv), frac_children_health_facility,1)</f>
        <v>0.41899999999999998</v>
      </c>
      <c r="F9" s="40">
        <f>IF(ISBLANK(comm_deliv), frac_children_health_facility,1)</f>
        <v>0.41899999999999998</v>
      </c>
      <c r="G9" s="40">
        <f>IF(ISBLANK(comm_deliv), frac_children_health_facility,1)</f>
        <v>0.41899999999999998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0.6</v>
      </c>
      <c r="I14" s="40">
        <f>food_insecure</f>
        <v>0.6</v>
      </c>
      <c r="J14" s="40">
        <f>food_insecure</f>
        <v>0.6</v>
      </c>
      <c r="K14" s="40">
        <f>food_insecure</f>
        <v>0.6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0.54549999999999998</v>
      </c>
      <c r="I17" s="40">
        <f>frac_PW_health_facility</f>
        <v>0.54549999999999998</v>
      </c>
      <c r="J17" s="40">
        <f>frac_PW_health_facility</f>
        <v>0.54549999999999998</v>
      </c>
      <c r="K17" s="40">
        <f>frac_PW_health_facility</f>
        <v>0.54549999999999998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0.1691</v>
      </c>
      <c r="I18" s="40">
        <f>frac_malaria_risk</f>
        <v>0.1691</v>
      </c>
      <c r="J18" s="40">
        <f>frac_malaria_risk</f>
        <v>0.1691</v>
      </c>
      <c r="K18" s="40">
        <f>frac_malaria_risk</f>
        <v>0.1691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0.34939519999999996</v>
      </c>
      <c r="M24" s="40">
        <f>(1-food_insecure)*(0.49)+food_insecure*(0.7)</f>
        <v>0.61599999999999999</v>
      </c>
      <c r="N24" s="40">
        <f>(1-food_insecure)*(0.49)+food_insecure*(0.7)</f>
        <v>0.61599999999999999</v>
      </c>
      <c r="O24" s="40">
        <f>(1-food_insecure)*(0.49)+food_insecure*(0.7)</f>
        <v>0.61599999999999999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0.14974079999999998</v>
      </c>
      <c r="M25" s="40">
        <f>(1-food_insecure)*(0.21)+food_insecure*(0.3)</f>
        <v>0.26400000000000001</v>
      </c>
      <c r="N25" s="40">
        <f>(1-food_insecure)*(0.21)+food_insecure*(0.3)</f>
        <v>0.26400000000000001</v>
      </c>
      <c r="O25" s="40">
        <f>(1-food_insecure)*(0.21)+food_insecure*(0.3)</f>
        <v>0.26400000000000001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6.8063999999999986E-2</v>
      </c>
      <c r="M26" s="40">
        <f>(1-food_insecure)*(0.3)</f>
        <v>0.12</v>
      </c>
      <c r="N26" s="40">
        <f>(1-food_insecure)*(0.3)</f>
        <v>0.12</v>
      </c>
      <c r="O26" s="40">
        <f>(1-food_insecure)*(0.3)</f>
        <v>0.12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0.43280000000000007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0.1691</v>
      </c>
      <c r="D33" s="40">
        <f t="shared" si="3"/>
        <v>0.1691</v>
      </c>
      <c r="E33" s="40">
        <f t="shared" si="3"/>
        <v>0.1691</v>
      </c>
      <c r="F33" s="40">
        <f t="shared" si="3"/>
        <v>0.1691</v>
      </c>
      <c r="G33" s="40">
        <f t="shared" si="3"/>
        <v>0.1691</v>
      </c>
      <c r="H33" s="40">
        <f t="shared" si="3"/>
        <v>0.1691</v>
      </c>
      <c r="I33" s="40">
        <f t="shared" si="3"/>
        <v>0.1691</v>
      </c>
      <c r="J33" s="40">
        <f t="shared" si="3"/>
        <v>0.1691</v>
      </c>
      <c r="K33" s="40">
        <f t="shared" si="3"/>
        <v>0.1691</v>
      </c>
      <c r="L33" s="40">
        <f t="shared" si="3"/>
        <v>0.1691</v>
      </c>
      <c r="M33" s="40">
        <f t="shared" si="3"/>
        <v>0.1691</v>
      </c>
      <c r="N33" s="40">
        <f t="shared" si="3"/>
        <v>0.1691</v>
      </c>
      <c r="O33" s="40">
        <f t="shared" si="3"/>
        <v>0.1691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sqref="A1:G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101761.2</v>
      </c>
      <c r="C2" s="81">
        <v>446000</v>
      </c>
      <c r="D2" s="81">
        <v>134000</v>
      </c>
      <c r="E2" s="81">
        <v>193000</v>
      </c>
      <c r="F2" s="81">
        <v>146000</v>
      </c>
      <c r="G2" s="81">
        <v>88000</v>
      </c>
      <c r="H2" s="25">
        <f t="shared" ref="H2:H40" si="0">D2+E2+F2+G2</f>
        <v>561000</v>
      </c>
      <c r="I2" s="25">
        <f>(B2 + stillbirth*B2/(1000-stillbirth))/(1-abortion)</f>
        <v>120246.00511110394</v>
      </c>
      <c r="J2" s="25">
        <f>H2-I2</f>
        <v>440753.99488889606</v>
      </c>
    </row>
    <row r="3" spans="1:10" ht="15.75" customHeight="1" x14ac:dyDescent="0.25">
      <c r="A3" s="9">
        <v>2016</v>
      </c>
      <c r="B3" s="80">
        <v>104455.13538041658</v>
      </c>
      <c r="C3" s="81">
        <v>457197.61994940316</v>
      </c>
      <c r="D3" s="81">
        <v>139174.72515876518</v>
      </c>
      <c r="E3" s="81">
        <v>199311.55766636858</v>
      </c>
      <c r="F3" s="81">
        <v>150959.72442226764</v>
      </c>
      <c r="G3" s="81">
        <v>90751.141934473329</v>
      </c>
      <c r="H3" s="25">
        <f t="shared" si="0"/>
        <v>580197.1491818747</v>
      </c>
      <c r="I3" s="25">
        <f t="shared" ref="I3:I40" si="1">(B3 + stillbirth*B3/(1000-stillbirth))/(1-abortion)</f>
        <v>123429.29075949013</v>
      </c>
      <c r="J3" s="25">
        <f t="shared" ref="J3:J15" si="2">H3-I3</f>
        <v>456767.8584223846</v>
      </c>
    </row>
    <row r="4" spans="1:10" ht="15.75" customHeight="1" x14ac:dyDescent="0.25">
      <c r="A4" s="9">
        <v>2017</v>
      </c>
      <c r="B4" s="80">
        <v>107220.3876068792</v>
      </c>
      <c r="C4" s="81">
        <v>468676.37598071498</v>
      </c>
      <c r="D4" s="81">
        <v>144549.28450013304</v>
      </c>
      <c r="E4" s="81">
        <v>205829.51823520294</v>
      </c>
      <c r="F4" s="81">
        <v>156087.93423045881</v>
      </c>
      <c r="G4" s="81">
        <v>93588.292754669586</v>
      </c>
      <c r="H4" s="25">
        <f t="shared" si="0"/>
        <v>600055.02972046437</v>
      </c>
      <c r="I4" s="25">
        <f t="shared" si="1"/>
        <v>126696.84787710191</v>
      </c>
      <c r="J4" s="25">
        <f t="shared" si="2"/>
        <v>473358.18184336246</v>
      </c>
    </row>
    <row r="5" spans="1:10" ht="15.75" customHeight="1" x14ac:dyDescent="0.25">
      <c r="A5" s="9">
        <v>2018</v>
      </c>
      <c r="B5" s="80">
        <v>110058.8446580554</v>
      </c>
      <c r="C5" s="81">
        <v>480443.32651321637</v>
      </c>
      <c r="D5" s="81">
        <v>150131.39509106099</v>
      </c>
      <c r="E5" s="81">
        <v>212560.63157086275</v>
      </c>
      <c r="F5" s="81">
        <v>161390.35299363764</v>
      </c>
      <c r="G5" s="81">
        <v>96514.141354364343</v>
      </c>
      <c r="H5" s="25">
        <f t="shared" si="0"/>
        <v>620596.52100992575</v>
      </c>
      <c r="I5" s="25">
        <f t="shared" si="1"/>
        <v>130050.90739176351</v>
      </c>
      <c r="J5" s="25">
        <f t="shared" si="2"/>
        <v>490545.61361816223</v>
      </c>
    </row>
    <row r="6" spans="1:10" ht="15.75" customHeight="1" x14ac:dyDescent="0.25">
      <c r="A6" s="9">
        <v>2019</v>
      </c>
      <c r="B6" s="80">
        <v>112816.49910524789</v>
      </c>
      <c r="C6" s="81">
        <v>492346.73031662003</v>
      </c>
      <c r="D6" s="81">
        <v>155966.01834202494</v>
      </c>
      <c r="E6" s="81">
        <v>219628.13375553256</v>
      </c>
      <c r="F6" s="81">
        <v>166910.84264527395</v>
      </c>
      <c r="G6" s="81">
        <v>99687.854942351929</v>
      </c>
      <c r="H6" s="25">
        <f t="shared" si="0"/>
        <v>642192.84968518338</v>
      </c>
      <c r="I6" s="25">
        <f t="shared" si="1"/>
        <v>133309.48660222648</v>
      </c>
      <c r="J6" s="25">
        <f t="shared" si="2"/>
        <v>508883.36308295687</v>
      </c>
    </row>
    <row r="7" spans="1:10" ht="15.75" customHeight="1" x14ac:dyDescent="0.25">
      <c r="A7" s="9">
        <v>2020</v>
      </c>
      <c r="B7" s="80">
        <v>115524.83499096506</v>
      </c>
      <c r="C7" s="81">
        <v>504453.69398311223</v>
      </c>
      <c r="D7" s="81">
        <v>162035.50887356879</v>
      </c>
      <c r="E7" s="81">
        <v>227097.84492798834</v>
      </c>
      <c r="F7" s="81">
        <v>172616.58291542146</v>
      </c>
      <c r="G7" s="81">
        <v>103365.50141266582</v>
      </c>
      <c r="H7" s="25">
        <f t="shared" si="0"/>
        <v>665115.43812964438</v>
      </c>
      <c r="I7" s="25">
        <f t="shared" si="1"/>
        <v>136509.78859116268</v>
      </c>
      <c r="J7" s="25">
        <f t="shared" si="2"/>
        <v>528605.64953848172</v>
      </c>
    </row>
    <row r="8" spans="1:10" ht="15.75" customHeight="1" x14ac:dyDescent="0.25">
      <c r="A8" s="9">
        <v>2021</v>
      </c>
      <c r="B8" s="80">
        <v>118447.53921928286</v>
      </c>
      <c r="C8" s="81">
        <v>516590.67480910401</v>
      </c>
      <c r="D8" s="81">
        <v>168305.51192922689</v>
      </c>
      <c r="E8" s="81">
        <v>235012.78139939863</v>
      </c>
      <c r="F8" s="81">
        <v>178494.09910273371</v>
      </c>
      <c r="G8" s="81">
        <v>106884.9534422321</v>
      </c>
      <c r="H8" s="25">
        <f t="shared" si="0"/>
        <v>688697.34587359137</v>
      </c>
      <c r="I8" s="25">
        <f t="shared" si="1"/>
        <v>139963.39868593894</v>
      </c>
      <c r="J8" s="25">
        <f t="shared" si="2"/>
        <v>548733.94718765246</v>
      </c>
    </row>
    <row r="9" spans="1:10" ht="15.75" customHeight="1" x14ac:dyDescent="0.25">
      <c r="A9" s="9">
        <v>2022</v>
      </c>
      <c r="B9" s="80">
        <v>121334.54221739429</v>
      </c>
      <c r="C9" s="81">
        <v>529634.53866607614</v>
      </c>
      <c r="D9" s="81">
        <v>174758.17412899947</v>
      </c>
      <c r="E9" s="81">
        <v>243373.52622217382</v>
      </c>
      <c r="F9" s="81">
        <v>184539.07647344621</v>
      </c>
      <c r="G9" s="81">
        <v>110562.38158425633</v>
      </c>
      <c r="H9" s="25">
        <f t="shared" si="0"/>
        <v>713233.15840887581</v>
      </c>
      <c r="I9" s="25">
        <f t="shared" si="1"/>
        <v>143374.82246304338</v>
      </c>
      <c r="J9" s="25">
        <f t="shared" si="2"/>
        <v>569858.33594583243</v>
      </c>
    </row>
    <row r="10" spans="1:10" ht="15.75" customHeight="1" x14ac:dyDescent="0.25">
      <c r="A10" s="9">
        <v>2023</v>
      </c>
      <c r="B10" s="80">
        <v>124280.4892664596</v>
      </c>
      <c r="C10" s="81">
        <v>542682.14666767663</v>
      </c>
      <c r="D10" s="81">
        <v>181345.17001323658</v>
      </c>
      <c r="E10" s="81">
        <v>252221.31415845064</v>
      </c>
      <c r="F10" s="81">
        <v>190731.00235884261</v>
      </c>
      <c r="G10" s="81">
        <v>114404.05497962775</v>
      </c>
      <c r="H10" s="25">
        <f t="shared" si="0"/>
        <v>738701.54151015752</v>
      </c>
      <c r="I10" s="25">
        <f t="shared" si="1"/>
        <v>146855.89741026246</v>
      </c>
      <c r="J10" s="25">
        <f t="shared" si="2"/>
        <v>591845.64409989503</v>
      </c>
    </row>
    <row r="11" spans="1:10" ht="15.75" customHeight="1" x14ac:dyDescent="0.25">
      <c r="A11" s="9">
        <v>2024</v>
      </c>
      <c r="B11" s="80">
        <v>127470.67908700874</v>
      </c>
      <c r="C11" s="81">
        <v>556124.96993561008</v>
      </c>
      <c r="D11" s="81">
        <v>188016.6487849679</v>
      </c>
      <c r="E11" s="81">
        <v>261600.78110942661</v>
      </c>
      <c r="F11" s="81">
        <v>197069.73529224205</v>
      </c>
      <c r="G11" s="81">
        <v>118409.91124883501</v>
      </c>
      <c r="H11" s="25">
        <f t="shared" si="0"/>
        <v>765097.07643547154</v>
      </c>
      <c r="I11" s="25">
        <f t="shared" si="1"/>
        <v>150625.58154790179</v>
      </c>
      <c r="J11" s="25">
        <f t="shared" si="2"/>
        <v>614471.49488756969</v>
      </c>
    </row>
    <row r="12" spans="1:10" ht="15.75" customHeight="1" x14ac:dyDescent="0.25">
      <c r="A12" s="9">
        <v>2025</v>
      </c>
      <c r="B12" s="80">
        <v>130781.81527535344</v>
      </c>
      <c r="C12" s="81">
        <v>570113.99030198634</v>
      </c>
      <c r="D12" s="81">
        <v>194742.31169832966</v>
      </c>
      <c r="E12" s="81">
        <v>271536.67441074381</v>
      </c>
      <c r="F12" s="81">
        <v>203594.28471087595</v>
      </c>
      <c r="G12" s="81">
        <v>122562.8584057721</v>
      </c>
      <c r="H12" s="25">
        <f t="shared" si="0"/>
        <v>792436.12922572158</v>
      </c>
      <c r="I12" s="25">
        <f t="shared" si="1"/>
        <v>154538.1818221444</v>
      </c>
      <c r="J12" s="25">
        <f t="shared" si="2"/>
        <v>637897.94740357716</v>
      </c>
    </row>
    <row r="13" spans="1:10" ht="15.75" customHeight="1" x14ac:dyDescent="0.25">
      <c r="A13" s="9">
        <v>2026</v>
      </c>
      <c r="B13" s="80">
        <v>134004.58367567608</v>
      </c>
      <c r="C13" s="81">
        <v>584319.40302714333</v>
      </c>
      <c r="D13" s="81">
        <v>201466.83060870116</v>
      </c>
      <c r="E13" s="81">
        <v>281972.50276219303</v>
      </c>
      <c r="F13" s="81">
        <v>210314.80084909181</v>
      </c>
      <c r="G13" s="81">
        <v>126849.64080428018</v>
      </c>
      <c r="H13" s="25">
        <f t="shared" si="0"/>
        <v>820603.77502426622</v>
      </c>
      <c r="I13" s="25">
        <f t="shared" si="1"/>
        <v>158346.36240115782</v>
      </c>
      <c r="J13" s="25">
        <f t="shared" si="2"/>
        <v>662257.41262310836</v>
      </c>
    </row>
    <row r="14" spans="1:10" ht="15.75" customHeight="1" x14ac:dyDescent="0.25">
      <c r="A14" s="9">
        <v>2027</v>
      </c>
      <c r="B14" s="80">
        <v>137622.48002870637</v>
      </c>
      <c r="C14" s="81">
        <v>599194.21760988352</v>
      </c>
      <c r="D14" s="81">
        <v>208169.23212792727</v>
      </c>
      <c r="E14" s="81">
        <v>292858.9010596922</v>
      </c>
      <c r="F14" s="81">
        <v>217280.26654511769</v>
      </c>
      <c r="G14" s="81">
        <v>131291.71699625874</v>
      </c>
      <c r="H14" s="25">
        <f t="shared" si="0"/>
        <v>849600.11672899593</v>
      </c>
      <c r="I14" s="25">
        <f t="shared" si="1"/>
        <v>162621.44547169871</v>
      </c>
      <c r="J14" s="25">
        <f t="shared" si="2"/>
        <v>686978.67125729728</v>
      </c>
    </row>
    <row r="15" spans="1:10" ht="15.75" customHeight="1" x14ac:dyDescent="0.25">
      <c r="A15" s="9">
        <v>2028</v>
      </c>
      <c r="B15" s="80">
        <v>140988.27869576195</v>
      </c>
      <c r="C15" s="81">
        <v>614450.29491999943</v>
      </c>
      <c r="D15" s="81">
        <v>214831.66287600819</v>
      </c>
      <c r="E15" s="81">
        <v>304120.04009808658</v>
      </c>
      <c r="F15" s="81">
        <v>224546.03063781763</v>
      </c>
      <c r="G15" s="81">
        <v>135901.25098641825</v>
      </c>
      <c r="H15" s="25">
        <f t="shared" si="0"/>
        <v>879398.98459833069</v>
      </c>
      <c r="I15" s="25">
        <f t="shared" si="1"/>
        <v>166598.63760113227</v>
      </c>
      <c r="J15" s="25">
        <f t="shared" si="2"/>
        <v>712800.34699719842</v>
      </c>
    </row>
    <row r="16" spans="1:10" ht="15.75" customHeight="1" x14ac:dyDescent="0.25">
      <c r="A16" s="9">
        <v>2029</v>
      </c>
      <c r="B16" s="8">
        <v>144528.43071069635</v>
      </c>
      <c r="C16" s="24">
        <v>630044.81730353518</v>
      </c>
      <c r="D16" s="24">
        <v>221432.83746397329</v>
      </c>
      <c r="E16" s="24">
        <v>315693.79240386619</v>
      </c>
      <c r="F16" s="24">
        <v>232171.75669982019</v>
      </c>
      <c r="G16" s="24">
        <v>140686.1025931871</v>
      </c>
      <c r="H16" s="25">
        <f t="shared" si="0"/>
        <v>909984.4891608468</v>
      </c>
      <c r="I16" s="25">
        <f t="shared" si="1"/>
        <v>170781.85416384856</v>
      </c>
      <c r="J16" s="25">
        <f t="shared" ref="J16:J40" si="3">H16-I16</f>
        <v>739202.63499699824</v>
      </c>
    </row>
    <row r="17" spans="1:10" ht="15.75" customHeight="1" x14ac:dyDescent="0.25">
      <c r="A17" s="9">
        <v>2030</v>
      </c>
      <c r="B17" s="8">
        <v>149547.10941717026</v>
      </c>
      <c r="C17" s="24">
        <v>647262.0583692739</v>
      </c>
      <c r="D17" s="24">
        <v>227883.45432506627</v>
      </c>
      <c r="E17" s="24">
        <v>327538.69647229026</v>
      </c>
      <c r="F17" s="24">
        <v>240230.79520512163</v>
      </c>
      <c r="G17" s="24">
        <v>145632.95379089503</v>
      </c>
      <c r="H17" s="25">
        <f t="shared" si="0"/>
        <v>941285.89979337319</v>
      </c>
      <c r="I17" s="25">
        <f t="shared" si="1"/>
        <v>176712.17009359045</v>
      </c>
      <c r="J17" s="25">
        <f t="shared" si="3"/>
        <v>764573.72969978279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8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49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49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49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49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49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49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49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49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49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49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49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49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49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49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49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49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49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49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49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49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49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49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49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49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49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44"/>
  <sheetViews>
    <sheetView zoomScale="74" zoomScaleNormal="60" workbookViewId="0">
      <selection activeCell="A20" sqref="A20:XFD142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9">
        <v>0.77852869999999996</v>
      </c>
      <c r="D2" s="129">
        <v>0.77852869999999996</v>
      </c>
      <c r="E2" s="129">
        <v>0.7222307</v>
      </c>
      <c r="F2" s="129">
        <v>0.42337930000000001</v>
      </c>
      <c r="G2" s="129">
        <v>0.25911820000000002</v>
      </c>
      <c r="H2" s="148" t="s">
        <v>216</v>
      </c>
    </row>
    <row r="3" spans="1:15" ht="15.75" customHeight="1" x14ac:dyDescent="0.25">
      <c r="A3" s="5"/>
      <c r="B3" s="14" t="s">
        <v>119</v>
      </c>
      <c r="C3" s="129">
        <v>0.14000180000000001</v>
      </c>
      <c r="D3" s="129">
        <v>0.14000180000000001</v>
      </c>
      <c r="E3" s="129">
        <v>0.19955880000000001</v>
      </c>
      <c r="F3" s="129">
        <v>0.2496003</v>
      </c>
      <c r="G3" s="129">
        <v>0.19744690000000001</v>
      </c>
      <c r="H3" s="148"/>
    </row>
    <row r="4" spans="1:15" ht="15.75" customHeight="1" x14ac:dyDescent="0.25">
      <c r="A4" s="5"/>
      <c r="B4" s="14" t="s">
        <v>117</v>
      </c>
      <c r="C4" s="129">
        <v>7.4464799999999998E-2</v>
      </c>
      <c r="D4" s="129">
        <v>7.4464799999999998E-2</v>
      </c>
      <c r="E4" s="129">
        <v>3.91052E-2</v>
      </c>
      <c r="F4" s="129">
        <v>0.1234437</v>
      </c>
      <c r="G4" s="129">
        <v>0.2706054</v>
      </c>
      <c r="H4" s="148"/>
    </row>
    <row r="5" spans="1:15" ht="15.75" customHeight="1" x14ac:dyDescent="0.25">
      <c r="A5" s="5"/>
      <c r="B5" s="14" t="s">
        <v>120</v>
      </c>
      <c r="C5" s="129">
        <v>7.0045999999999997E-3</v>
      </c>
      <c r="D5" s="129">
        <v>7.0045999999999997E-3</v>
      </c>
      <c r="E5" s="129">
        <v>3.91052E-2</v>
      </c>
      <c r="F5" s="129">
        <v>0.2035767</v>
      </c>
      <c r="G5" s="129">
        <v>0.27282960000000001</v>
      </c>
      <c r="H5" s="148"/>
      <c r="I5" s="104"/>
    </row>
    <row r="6" spans="1:15" ht="15.75" customHeight="1" x14ac:dyDescent="0.25">
      <c r="B6" s="17"/>
      <c r="C6" s="33">
        <f>SUM(C2:C5)</f>
        <v>0.99999989999999994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9">
        <v>0.74409990000000004</v>
      </c>
      <c r="D8" s="129">
        <v>0.74409990000000004</v>
      </c>
      <c r="E8" s="129">
        <v>0.75123640000000003</v>
      </c>
      <c r="F8" s="129">
        <v>0.71251350000000002</v>
      </c>
      <c r="G8" s="129">
        <v>0.82049510000000003</v>
      </c>
      <c r="H8" s="148" t="s">
        <v>216</v>
      </c>
    </row>
    <row r="9" spans="1:15" ht="15.75" customHeight="1" x14ac:dyDescent="0.25">
      <c r="B9" s="9" t="s">
        <v>122</v>
      </c>
      <c r="C9" s="129">
        <v>0.13748540000000001</v>
      </c>
      <c r="D9" s="129">
        <v>0.13748540000000001</v>
      </c>
      <c r="E9" s="129">
        <v>0.14234469999999999</v>
      </c>
      <c r="F9" s="129">
        <v>0.20263049999999999</v>
      </c>
      <c r="G9" s="129">
        <v>0.13868240000000001</v>
      </c>
      <c r="H9" s="148"/>
    </row>
    <row r="10" spans="1:15" ht="15.75" customHeight="1" x14ac:dyDescent="0.25">
      <c r="B10" s="9" t="s">
        <v>123</v>
      </c>
      <c r="C10" s="129">
        <v>4.5146400000000003E-2</v>
      </c>
      <c r="D10" s="129">
        <v>4.5146400000000003E-2</v>
      </c>
      <c r="E10" s="129">
        <v>8.0215300000000003E-2</v>
      </c>
      <c r="F10" s="129">
        <v>7.9449500000000006E-2</v>
      </c>
      <c r="G10" s="129">
        <v>2.7710499999999999E-2</v>
      </c>
      <c r="H10" s="148"/>
    </row>
    <row r="11" spans="1:15" ht="15.75" customHeight="1" x14ac:dyDescent="0.25">
      <c r="B11" s="9" t="s">
        <v>124</v>
      </c>
      <c r="C11" s="129">
        <v>7.3268299999999995E-2</v>
      </c>
      <c r="D11" s="129">
        <v>7.3268299999999995E-2</v>
      </c>
      <c r="E11" s="129">
        <v>2.6203500000000001E-2</v>
      </c>
      <c r="F11" s="129">
        <v>5.4063999999999996E-3</v>
      </c>
      <c r="G11" s="129">
        <v>1.31121E-2</v>
      </c>
      <c r="H11" s="148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7"/>
      <c r="D14" s="137"/>
      <c r="E14" s="129">
        <v>0.72760000000000002</v>
      </c>
      <c r="F14" s="129">
        <v>0.61929999999999996</v>
      </c>
      <c r="G14" s="129">
        <v>0.48159999999999997</v>
      </c>
      <c r="H14" s="138">
        <v>0.53320000000000001</v>
      </c>
      <c r="I14" s="138">
        <v>0.35039999999999999</v>
      </c>
      <c r="J14" s="138">
        <v>0.22700000000000001</v>
      </c>
      <c r="K14" s="138">
        <v>1</v>
      </c>
      <c r="L14" s="138">
        <v>0.37959999999999999</v>
      </c>
      <c r="M14" s="138">
        <v>0.26629999999999998</v>
      </c>
      <c r="N14" s="138">
        <v>0.22670000000000001</v>
      </c>
      <c r="O14" s="138">
        <v>0.19539999999999999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0.31665152000000002</v>
      </c>
      <c r="F15" s="37">
        <f t="shared" si="0"/>
        <v>0.26951935999999999</v>
      </c>
      <c r="G15" s="37">
        <f t="shared" si="0"/>
        <v>0.20959231999999997</v>
      </c>
      <c r="H15" s="37">
        <f t="shared" si="0"/>
        <v>0.23204864</v>
      </c>
      <c r="I15" s="37">
        <f t="shared" si="0"/>
        <v>0.15249407999999998</v>
      </c>
      <c r="J15" s="37">
        <f t="shared" si="0"/>
        <v>9.87904E-2</v>
      </c>
      <c r="K15" s="37">
        <f t="shared" si="0"/>
        <v>0.43519999999999998</v>
      </c>
      <c r="L15" s="37">
        <f t="shared" si="0"/>
        <v>0.16520191999999997</v>
      </c>
      <c r="M15" s="37">
        <f t="shared" si="0"/>
        <v>0.11589375999999998</v>
      </c>
      <c r="N15" s="37">
        <f t="shared" si="0"/>
        <v>9.8659839999999999E-2</v>
      </c>
      <c r="O15" s="37">
        <f t="shared" si="0"/>
        <v>8.5038079999999988E-2</v>
      </c>
    </row>
    <row r="16" spans="1:15" ht="19" customHeight="1" x14ac:dyDescent="0.3">
      <c r="B16" s="94" t="s">
        <v>211</v>
      </c>
      <c r="C16" s="150" t="s">
        <v>216</v>
      </c>
      <c r="D16" s="151"/>
      <c r="E16" s="151"/>
      <c r="F16" s="151"/>
      <c r="G16" s="151"/>
      <c r="H16" s="152" t="s">
        <v>216</v>
      </c>
      <c r="I16" s="153"/>
      <c r="J16" s="153"/>
      <c r="K16" s="153"/>
      <c r="L16" s="153"/>
      <c r="M16" s="153"/>
      <c r="N16" s="153"/>
      <c r="O16" s="153"/>
    </row>
    <row r="17" spans="3:15" ht="49.75" customHeight="1" x14ac:dyDescent="0.25">
      <c r="C17" s="10"/>
      <c r="D17" s="10"/>
      <c r="E17" s="10"/>
      <c r="F17" s="10"/>
      <c r="G17" s="10"/>
      <c r="H17" s="154"/>
      <c r="I17" s="154"/>
      <c r="J17" s="154"/>
      <c r="K17" s="154"/>
      <c r="L17" s="154"/>
      <c r="M17" s="154"/>
      <c r="N17" s="154"/>
      <c r="O17" s="154"/>
    </row>
    <row r="44" spans="14:14" ht="15.75" customHeight="1" x14ac:dyDescent="0.25">
      <c r="N44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7"/>
  <sheetViews>
    <sheetView zoomScale="89" zoomScaleNormal="60" workbookViewId="0">
      <selection activeCell="D7" sqref="D7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9">
        <v>1</v>
      </c>
      <c r="D2" s="129">
        <v>0.64204629999999996</v>
      </c>
      <c r="E2" s="129"/>
      <c r="F2" s="129"/>
      <c r="G2" s="129"/>
      <c r="H2" s="148" t="s">
        <v>207</v>
      </c>
    </row>
    <row r="3" spans="1:8" x14ac:dyDescent="0.25">
      <c r="B3" s="50" t="s">
        <v>167</v>
      </c>
      <c r="C3" s="139">
        <v>0</v>
      </c>
      <c r="D3" s="139">
        <v>0.13919690000000001</v>
      </c>
      <c r="E3" s="139"/>
      <c r="F3" s="139"/>
      <c r="G3" s="139"/>
      <c r="H3" s="148"/>
    </row>
    <row r="4" spans="1:8" x14ac:dyDescent="0.25">
      <c r="B4" s="50" t="s">
        <v>168</v>
      </c>
      <c r="C4" s="139">
        <v>0</v>
      </c>
      <c r="D4" s="139">
        <v>0.2187567</v>
      </c>
      <c r="E4" s="132">
        <v>1</v>
      </c>
      <c r="F4" s="132">
        <v>0.82804690000000003</v>
      </c>
      <c r="G4" s="132">
        <v>5.7929899999999999E-2</v>
      </c>
      <c r="H4" s="148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9.9999999947364415E-8</v>
      </c>
      <c r="E5" s="37">
        <f t="shared" si="0"/>
        <v>0</v>
      </c>
      <c r="F5" s="37">
        <f t="shared" si="0"/>
        <v>0.17195309999999997</v>
      </c>
      <c r="G5" s="37">
        <f t="shared" si="0"/>
        <v>0.94207010000000002</v>
      </c>
      <c r="H5" s="148"/>
    </row>
    <row r="7" spans="1:8" x14ac:dyDescent="0.25">
      <c r="E7" s="15"/>
      <c r="F7" s="15"/>
      <c r="G7" s="15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H39"/>
  <sheetViews>
    <sheetView zoomScale="107" zoomScaleNormal="60" workbookViewId="0">
      <selection activeCell="H1" sqref="H1:AJ1048576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8" ht="56.65" customHeight="1" x14ac:dyDescent="0.35">
      <c r="A1" s="62" t="s">
        <v>69</v>
      </c>
      <c r="B1" s="156" t="s">
        <v>258</v>
      </c>
      <c r="C1" s="61" t="s">
        <v>201</v>
      </c>
      <c r="D1" s="60" t="s">
        <v>202</v>
      </c>
      <c r="E1" s="88" t="s">
        <v>208</v>
      </c>
      <c r="F1" s="114" t="s">
        <v>248</v>
      </c>
      <c r="G1" s="91" t="s">
        <v>209</v>
      </c>
    </row>
    <row r="2" spans="1:8" ht="15.75" customHeight="1" x14ac:dyDescent="0.25">
      <c r="A2" s="57" t="s">
        <v>29</v>
      </c>
      <c r="B2" s="140"/>
      <c r="C2" s="58">
        <v>0.95</v>
      </c>
      <c r="D2" s="59">
        <v>25</v>
      </c>
      <c r="E2" s="89"/>
      <c r="F2" s="90"/>
      <c r="G2" s="89" t="s">
        <v>212</v>
      </c>
    </row>
    <row r="3" spans="1:8" ht="15.75" customHeight="1" x14ac:dyDescent="0.25">
      <c r="A3" s="57" t="s">
        <v>86</v>
      </c>
      <c r="B3" s="140"/>
      <c r="C3" s="58">
        <v>0.95</v>
      </c>
      <c r="D3" s="59">
        <v>1</v>
      </c>
      <c r="E3" s="90"/>
      <c r="F3" s="90"/>
      <c r="G3" s="89" t="s">
        <v>210</v>
      </c>
    </row>
    <row r="4" spans="1:8" ht="15.75" customHeight="1" x14ac:dyDescent="0.25">
      <c r="A4" s="57" t="s">
        <v>61</v>
      </c>
      <c r="B4" s="140"/>
      <c r="C4" s="58">
        <v>0.95</v>
      </c>
      <c r="D4" s="59">
        <f>180</f>
        <v>180</v>
      </c>
      <c r="E4" s="90"/>
      <c r="F4" s="90"/>
      <c r="G4" s="89" t="s">
        <v>210</v>
      </c>
    </row>
    <row r="5" spans="1:8" ht="15.75" customHeight="1" x14ac:dyDescent="0.3">
      <c r="A5" s="92" t="s">
        <v>198</v>
      </c>
      <c r="B5" s="129">
        <v>9.5000000000000001E-2</v>
      </c>
      <c r="C5" s="58">
        <v>0.95</v>
      </c>
      <c r="D5" s="116">
        <f>SUM('Programs family planning'!E2:E10)</f>
        <v>0.82100000000000006</v>
      </c>
      <c r="E5" s="89" t="s">
        <v>216</v>
      </c>
      <c r="F5" s="115" t="s">
        <v>230</v>
      </c>
      <c r="G5" s="89"/>
    </row>
    <row r="6" spans="1:8" ht="15.75" customHeight="1" x14ac:dyDescent="0.3">
      <c r="A6" s="92"/>
      <c r="B6" s="129">
        <v>4.2000000000000003E-2</v>
      </c>
      <c r="C6" s="58">
        <v>0.95</v>
      </c>
      <c r="D6" s="116">
        <v>8.2000000000000003E-2</v>
      </c>
      <c r="E6" s="89" t="s">
        <v>216</v>
      </c>
      <c r="F6" s="115" t="s">
        <v>231</v>
      </c>
      <c r="G6" s="89"/>
    </row>
    <row r="7" spans="1:8" ht="15.75" customHeight="1" x14ac:dyDescent="0.25">
      <c r="A7" s="57" t="s">
        <v>63</v>
      </c>
      <c r="B7" s="130"/>
      <c r="C7" s="58">
        <v>0.95</v>
      </c>
      <c r="D7" s="59">
        <v>0.82</v>
      </c>
      <c r="E7" s="89"/>
      <c r="F7" s="90"/>
      <c r="G7" s="89"/>
    </row>
    <row r="8" spans="1:8" ht="15.75" customHeight="1" x14ac:dyDescent="0.25">
      <c r="A8" s="70" t="s">
        <v>187</v>
      </c>
      <c r="B8" s="130"/>
      <c r="C8" s="58">
        <v>0.95</v>
      </c>
      <c r="D8" s="59">
        <v>0.73</v>
      </c>
      <c r="E8" s="89"/>
      <c r="F8" s="90"/>
      <c r="G8" s="89"/>
    </row>
    <row r="9" spans="1:8" ht="15.75" customHeight="1" x14ac:dyDescent="0.25">
      <c r="A9" s="70" t="s">
        <v>188</v>
      </c>
      <c r="B9" s="130"/>
      <c r="C9" s="58">
        <v>0.95</v>
      </c>
      <c r="D9" s="59">
        <v>1.78</v>
      </c>
      <c r="E9" s="89"/>
      <c r="F9" s="90"/>
      <c r="G9" s="89"/>
    </row>
    <row r="10" spans="1:8" ht="15.75" customHeight="1" x14ac:dyDescent="0.25">
      <c r="A10" s="70" t="s">
        <v>189</v>
      </c>
      <c r="B10" s="130"/>
      <c r="C10" s="58">
        <v>0.95</v>
      </c>
      <c r="D10" s="59">
        <v>0.24</v>
      </c>
      <c r="E10" s="89"/>
      <c r="F10" s="90"/>
      <c r="G10" s="89"/>
    </row>
    <row r="11" spans="1:8" ht="15.75" customHeight="1" x14ac:dyDescent="0.25">
      <c r="A11" s="70" t="s">
        <v>190</v>
      </c>
      <c r="B11" s="130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8" ht="15.75" customHeight="1" x14ac:dyDescent="0.25">
      <c r="A12" s="14" t="s">
        <v>186</v>
      </c>
      <c r="B12" s="130"/>
      <c r="C12" s="58">
        <v>0.95</v>
      </c>
      <c r="D12" s="59">
        <v>0.73</v>
      </c>
      <c r="E12" s="89"/>
      <c r="F12" s="90"/>
      <c r="G12" s="89"/>
    </row>
    <row r="13" spans="1:8" ht="15.75" customHeight="1" x14ac:dyDescent="0.35">
      <c r="A13" s="93" t="s">
        <v>191</v>
      </c>
      <c r="B13" s="129">
        <v>0.55899999999999994</v>
      </c>
      <c r="C13" s="58">
        <v>0.95</v>
      </c>
      <c r="D13" s="59">
        <v>2</v>
      </c>
      <c r="E13" s="89" t="s">
        <v>216</v>
      </c>
      <c r="F13" s="90" t="s">
        <v>246</v>
      </c>
      <c r="G13" s="89"/>
      <c r="H13" s="99"/>
    </row>
    <row r="14" spans="1:8" ht="15.75" customHeight="1" x14ac:dyDescent="0.3">
      <c r="A14" s="92" t="s">
        <v>57</v>
      </c>
      <c r="B14" s="129">
        <v>0.36399999999999999</v>
      </c>
      <c r="C14" s="58">
        <v>0.95</v>
      </c>
      <c r="D14" s="59">
        <v>2.1800000000000002</v>
      </c>
      <c r="E14" s="89" t="s">
        <v>216</v>
      </c>
      <c r="F14" s="115" t="s">
        <v>232</v>
      </c>
      <c r="G14" s="89" t="s">
        <v>212</v>
      </c>
    </row>
    <row r="15" spans="1:8" ht="15.75" customHeight="1" x14ac:dyDescent="0.35">
      <c r="A15" s="92"/>
      <c r="B15" s="129">
        <v>0.14199999999999999</v>
      </c>
      <c r="C15" s="58">
        <v>0.95</v>
      </c>
      <c r="D15" s="59">
        <v>2.1800000000000002</v>
      </c>
      <c r="E15" s="89" t="s">
        <v>216</v>
      </c>
      <c r="F15" s="115" t="s">
        <v>233</v>
      </c>
      <c r="G15" s="89"/>
      <c r="H15" s="99"/>
    </row>
    <row r="16" spans="1:8" ht="15.75" customHeight="1" x14ac:dyDescent="0.35">
      <c r="A16" s="57" t="s">
        <v>47</v>
      </c>
      <c r="B16" s="130"/>
      <c r="C16" s="58">
        <v>0.95</v>
      </c>
      <c r="D16" s="59">
        <v>0.05</v>
      </c>
      <c r="E16" s="89"/>
      <c r="F16" s="90"/>
      <c r="G16" s="89"/>
      <c r="H16" s="99"/>
    </row>
    <row r="17" spans="1:8" ht="16" customHeight="1" x14ac:dyDescent="0.25">
      <c r="A17" s="57" t="s">
        <v>172</v>
      </c>
      <c r="B17" s="130"/>
      <c r="C17" s="58">
        <v>0.95</v>
      </c>
      <c r="D17" s="117">
        <v>5</v>
      </c>
      <c r="E17" s="89"/>
      <c r="F17" s="90"/>
      <c r="G17" s="89"/>
    </row>
    <row r="18" spans="1:8" ht="15.75" customHeight="1" x14ac:dyDescent="0.25">
      <c r="A18" s="57" t="s">
        <v>199</v>
      </c>
      <c r="B18" s="130"/>
      <c r="C18" s="58">
        <v>0.95</v>
      </c>
      <c r="D18" s="117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8" ht="15.75" customHeight="1" x14ac:dyDescent="0.25">
      <c r="A19" s="57" t="s">
        <v>200</v>
      </c>
      <c r="B19" s="130"/>
      <c r="C19" s="58">
        <v>0.95</v>
      </c>
      <c r="D19" s="117">
        <f>SUMPRODUCT(('IYCF cost'!$C$2:$E$6)*('IYCF packages'!$C$16:$E$20&lt;&gt;""))</f>
        <v>0.25</v>
      </c>
      <c r="E19" s="89"/>
      <c r="F19" s="90"/>
      <c r="G19" s="89"/>
    </row>
    <row r="20" spans="1:8" ht="15.75" customHeight="1" x14ac:dyDescent="0.25">
      <c r="A20" s="57" t="s">
        <v>196</v>
      </c>
      <c r="B20" s="130"/>
      <c r="C20" s="58">
        <v>0.95</v>
      </c>
      <c r="D20" s="59">
        <v>8.84</v>
      </c>
      <c r="E20" s="89"/>
      <c r="F20" s="90"/>
      <c r="G20" s="89"/>
    </row>
    <row r="21" spans="1:8" ht="15.75" customHeight="1" x14ac:dyDescent="0.25">
      <c r="A21" s="57" t="s">
        <v>137</v>
      </c>
      <c r="B21" s="130"/>
      <c r="C21" s="58">
        <v>0.95</v>
      </c>
      <c r="D21" s="59">
        <v>50</v>
      </c>
      <c r="E21" s="90"/>
      <c r="F21" s="90"/>
      <c r="G21" s="89"/>
    </row>
    <row r="22" spans="1:8" ht="15.75" customHeight="1" x14ac:dyDescent="0.25">
      <c r="A22" s="57" t="s">
        <v>34</v>
      </c>
      <c r="B22" s="130"/>
      <c r="C22" s="58">
        <v>0.95</v>
      </c>
      <c r="D22" s="59">
        <v>2.61</v>
      </c>
      <c r="E22" s="90"/>
      <c r="F22" s="90"/>
      <c r="G22" s="89"/>
    </row>
    <row r="23" spans="1:8" ht="15.75" customHeight="1" x14ac:dyDescent="0.25">
      <c r="A23" s="57" t="s">
        <v>88</v>
      </c>
      <c r="B23" s="130"/>
      <c r="C23" s="58">
        <v>0.95</v>
      </c>
      <c r="D23" s="59">
        <v>1</v>
      </c>
      <c r="E23" s="90"/>
      <c r="F23" s="90"/>
      <c r="G23" s="89" t="s">
        <v>210</v>
      </c>
    </row>
    <row r="24" spans="1:8" ht="15.75" customHeight="1" x14ac:dyDescent="0.25">
      <c r="A24" s="57" t="s">
        <v>87</v>
      </c>
      <c r="B24" s="130"/>
      <c r="C24" s="58">
        <v>0.95</v>
      </c>
      <c r="D24" s="59">
        <v>1</v>
      </c>
      <c r="E24" s="90"/>
      <c r="F24" s="90"/>
      <c r="G24" s="89" t="s">
        <v>210</v>
      </c>
    </row>
    <row r="25" spans="1:8" ht="15.75" customHeight="1" x14ac:dyDescent="0.25">
      <c r="A25" s="57" t="s">
        <v>138</v>
      </c>
      <c r="B25" s="130"/>
      <c r="C25" s="58">
        <v>0.95</v>
      </c>
      <c r="D25" s="59">
        <v>1</v>
      </c>
      <c r="E25" s="90"/>
      <c r="F25" s="90"/>
      <c r="G25" s="89" t="s">
        <v>210</v>
      </c>
    </row>
    <row r="26" spans="1:8" ht="15.75" customHeight="1" x14ac:dyDescent="0.3">
      <c r="A26" s="92" t="s">
        <v>59</v>
      </c>
      <c r="B26" s="130"/>
      <c r="C26" s="58">
        <v>0.95</v>
      </c>
      <c r="D26" s="59">
        <v>3.54</v>
      </c>
      <c r="E26" s="89"/>
      <c r="F26" s="90" t="s">
        <v>247</v>
      </c>
      <c r="G26" s="89"/>
    </row>
    <row r="27" spans="1:8" ht="15.75" customHeight="1" x14ac:dyDescent="0.3">
      <c r="A27" s="92" t="s">
        <v>84</v>
      </c>
      <c r="B27" s="129">
        <v>0.36099999999999999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8" ht="15.75" customHeight="1" x14ac:dyDescent="0.25">
      <c r="A28" s="57" t="s">
        <v>58</v>
      </c>
      <c r="B28" s="130"/>
      <c r="C28" s="58">
        <v>0.95</v>
      </c>
      <c r="D28" s="59">
        <v>40.25</v>
      </c>
      <c r="E28" s="89"/>
      <c r="F28" s="90"/>
      <c r="G28" s="89"/>
    </row>
    <row r="29" spans="1:8" ht="15.75" customHeight="1" x14ac:dyDescent="0.25">
      <c r="A29" s="57" t="s">
        <v>67</v>
      </c>
      <c r="B29" s="130"/>
      <c r="C29" s="58">
        <v>0.95</v>
      </c>
      <c r="D29" s="118">
        <f>162*AVERAGE('Incidence of conditions'!B4:F4) + 0*AVERAGE('Incidence of conditions'!B3:F3)*IF(ISBLANK(manage_mam), 0, 1)</f>
        <v>16.111624464000002</v>
      </c>
      <c r="E29" s="89"/>
      <c r="F29" s="90"/>
      <c r="G29" s="89"/>
    </row>
    <row r="30" spans="1:8" ht="15.75" customHeight="1" x14ac:dyDescent="0.35">
      <c r="A30" s="92" t="s">
        <v>28</v>
      </c>
      <c r="B30" s="129">
        <v>0.59299999999999997</v>
      </c>
      <c r="C30" s="58">
        <v>0.95</v>
      </c>
      <c r="D30" s="59">
        <v>0.55000000000000004</v>
      </c>
      <c r="E30" s="89" t="s">
        <v>216</v>
      </c>
      <c r="F30" s="115" t="s">
        <v>235</v>
      </c>
      <c r="G30" s="89"/>
      <c r="H30" s="99"/>
    </row>
    <row r="31" spans="1:8" ht="15.75" customHeight="1" x14ac:dyDescent="0.35">
      <c r="A31" s="92"/>
      <c r="B31" s="129">
        <v>0.14800000000000002</v>
      </c>
      <c r="C31" s="58">
        <v>0.95</v>
      </c>
      <c r="D31" s="59">
        <v>0.55000000000000004</v>
      </c>
      <c r="E31" s="89" t="s">
        <v>216</v>
      </c>
      <c r="F31" s="115" t="s">
        <v>236</v>
      </c>
      <c r="G31" s="89"/>
      <c r="H31" s="99"/>
    </row>
    <row r="32" spans="1:8" ht="15.75" customHeight="1" x14ac:dyDescent="0.25">
      <c r="A32" s="57" t="s">
        <v>83</v>
      </c>
      <c r="B32" s="130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30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30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30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30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30">
        <v>4.0500000000000001E-2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40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2018-11-06T16:42:00Z</dcterms:modified>
</cp:coreProperties>
</file>