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484577\Desktop\Provincial projections\"/>
    </mc:Choice>
  </mc:AlternateContent>
  <xr:revisionPtr revIDLastSave="0" documentId="10_ncr:100000_{C5E5448D-D574-4CFF-9C40-6DEBD9AAC744}" xr6:coauthVersionLast="31" xr6:coauthVersionMax="31" xr10:uidLastSave="{00000000-0000-0000-0000-000000000000}"/>
  <bookViews>
    <workbookView xWindow="0" yWindow="0" windowWidth="23040" windowHeight="8610" tabRatio="93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H2" i="2" l="1"/>
  <c r="I2" i="2"/>
  <c r="H3" i="2"/>
  <c r="I3" i="2"/>
  <c r="J3" i="2" s="1"/>
  <c r="H4" i="2"/>
  <c r="I4" i="2"/>
  <c r="H5" i="2"/>
  <c r="J5" i="2" s="1"/>
  <c r="I5" i="2"/>
  <c r="H6" i="2"/>
  <c r="I6" i="2"/>
  <c r="H7" i="2"/>
  <c r="I7" i="2"/>
  <c r="J4" i="2" l="1"/>
  <c r="J7" i="2"/>
  <c r="J6" i="2"/>
  <c r="J2" i="2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A1" i="50" l="1"/>
  <c r="A1" i="5"/>
  <c r="A1" i="4"/>
  <c r="D19" i="56" l="1"/>
  <c r="C6" i="5"/>
  <c r="A34" i="2" l="1"/>
  <c r="A26" i="2"/>
  <c r="A18" i="2"/>
  <c r="A38" i="2"/>
  <c r="A30" i="2"/>
  <c r="A22" i="2"/>
  <c r="A37" i="2"/>
  <c r="A33" i="2"/>
  <c r="A29" i="2"/>
  <c r="A25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I8" i="2"/>
  <c r="I9" i="2"/>
  <c r="I10" i="2"/>
  <c r="I11" i="2"/>
  <c r="I12" i="2"/>
  <c r="I13" i="2"/>
  <c r="I14" i="2"/>
  <c r="I15" i="2"/>
  <c r="H8" i="2" l="1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J13" i="2" l="1"/>
  <c r="J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<sst xmlns="http://schemas.openxmlformats.org/spreadsheetml/2006/main" count="434" uniqueCount="259">
  <si>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</si>
  <si>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</si>
  <si>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</si>
  <si>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</si>
  <si>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</si>
  <si>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</si>
  <si>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</si>
  <si>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</si>
  <si>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</si>
  <si>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</si>
  <si>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</si>
  <si>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</si>
  <si>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</si>
  <si>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</si>
  <si>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</si>
  <si>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</si>
  <si>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</si>
  <si>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</si>
  <si>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</si>
  <si>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</si>
  <si>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</si>
  <si>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</si>
  <si>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</si>
  <si>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</si>
  <si>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</si>
  <si>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</si>
  <si>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</si>
  <si>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</si>
  <si>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</si>
  <si>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</si>
  <si>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</si>
  <si>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</si>
  <si>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</si>
  <si>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</si>
  <si>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</si>
  <si>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</si>
  <si>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</si>
  <si>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</si>
  <si>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</si>
  <si>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</si>
  <si>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</si>
  <si>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</si>
  <si>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</si>
  <si>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</si>
  <si>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</si>
  <si>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</si>
  <si>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</si>
  <si>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</si>
  <si>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</si>
  <si>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</si>
  <si>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</si>
  <si>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</si>
  <si>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</si>
  <si>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</si>
  <si>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</si>
  <si>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</si>
  <si>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</si>
  <si>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</si>
  <si>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</si>
  <si>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</si>
  <si>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</si>
  <si>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</si>
  <si>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</si>
  <si>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</si>
  <si>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</si>
  <si>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</si>
  <si>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</si>
  <si>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</si>
  <si>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</si>
  <si>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</si>
  <si>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</si>
  <si>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</si>
  <si>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</si>
  <si>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</si>
  <si>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</si>
  <si>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</si>
  <si>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</si>
  <si>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</si>
  <si>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</si>
  <si>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</si>
  <si>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</si>
  <si>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</si>
  <si>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</si>
  <si>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</si>
  <si>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</si>
  <si>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</si>
  <si>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</si>
  <si>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</si>
  <si>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</si>
  <si>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</si>
  <si>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</si>
  <si>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</si>
  <si>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</si>
  <si>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</si>
  <si>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</si>
  <si>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</si>
  <si>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</si>
  <si>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</si>
  <si>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</si>
  <si>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</si>
  <si>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</si>
  <si>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</si>
  <si>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</si>
  <si>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</si>
  <si>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</si>
  <si>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</si>
  <si>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</si>
  <si>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</si>
  <si>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</si>
  <si>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</si>
  <si>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</si>
  <si>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</si>
  <si>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</si>
  <si>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</si>
  <si>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</si>
  <si>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</si>
  <si>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</si>
  <si>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</si>
  <si>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</si>
  <si>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</si>
  <si>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</si>
  <si>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</si>
  <si>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</si>
  <si>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</si>
  <si>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</si>
  <si>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</si>
  <si>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</si>
  <si>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</si>
  <si>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</si>
  <si>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</si>
  <si>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</si>
  <si>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</si>
  <si>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</si>
  <si>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</si>
  <si>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</si>
  <si>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</si>
  <si>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</si>
  <si>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</si>
  <si>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</si>
  <si>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</si>
  <si>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</si>
  <si>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</si>
  <si>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</si>
  <si>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</si>
  <si>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</si>
  <si>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</si>
  <si>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</si>
  <si>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</si>
  <si>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</si>
  <si>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</si>
  <si>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</si>
  <si>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</si>
  <si>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</si>
  <si>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</si>
  <si>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</si>
  <si>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</si>
  <si>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</si>
  <si>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</si>
  <si>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</si>
  <si>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</si>
  <si>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</si>
  <si>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</si>
  <si>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</si>
  <si>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</si>
  <si>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</si>
  <si>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</si>
  <si>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</si>
  <si>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</si>
  <si>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</si>
  <si>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</si>
  <si>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</si>
  <si>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</si>
  <si>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</si>
  <si>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</si>
  <si>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</si>
  <si>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</si>
  <si>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</si>
  <si>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</si>
  <si>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</si>
  <si>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</si>
  <si>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</si>
  <si>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</si>
  <si>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</si>
  <si>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</si>
  <si>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</si>
  <si>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</si>
  <si>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</si>
  <si>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</si>
  <si>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</si>
  <si>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</si>
  <si>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</si>
  <si>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</si>
  <si>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</si>
  <si>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</si>
  <si>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</si>
  <si>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</si>
  <si>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</si>
  <si>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</si>
  <si>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</si>
  <si>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</si>
  <si>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</si>
  <si>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</si>
  <si>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</si>
  <si>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</si>
  <si>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</si>
  <si>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</si>
  <si>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</si>
  <si>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</si>
  <si>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</si>
  <si>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</si>
  <si>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</si>
  <si>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</si>
  <si>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</si>
  <si>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Tanganyika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</si>
  <si>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</si>
  <si>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</si>
  <si>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</si>
  <si>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</si>
  <si>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</si>
  <si>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</si>
  <si>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</si>
  <si>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</si>
  <si>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</si>
  <si>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</si>
  <si>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</si>
  <si>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</si>
  <si>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</si>
  <si>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</si>
  <si>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</si>
  <si>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DHS - all diarrhoea 0-59 months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</si>
  <si>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</si>
  <si>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</si>
  <si>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</si>
  <si>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</si>
  <si>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</si>
  <si>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</si>
  <si>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</si>
  <si>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</si>
  <si>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</si>
  <si>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</si>
  <si>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</si>
  <si>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</si>
  <si>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</si>
  <si>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</si>
  <si>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</si>
  <si>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</si>
  <si>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</si>
  <si>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</si>
  <si>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</si>
  <si>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</si>
  <si>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</si>
  <si>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</si>
  <si>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</si>
  <si>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</si>
  <si>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</si>
  <si>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</si>
  <si>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</si>
  <si>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</si>
  <si>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Tanganyika Baseline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</si>
</sst>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57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6" fillId="0" borderId="0" xfId="727" applyFont="1" applyFill="1"/>
    <xf numFmtId="0" fontId="27" fillId="0" borderId="0" xfId="727" applyFont="1" applyFill="1"/>
    <xf numFmtId="166" fontId="0" fillId="0" borderId="0" xfId="10" applyNumberFormat="1" applyFont="1"/>
    <xf numFmtId="0" fontId="0" fillId="0" borderId="0" xfId="0"/>
    <xf numFmtId="0" fontId="28" fillId="0" borderId="0" xfId="0" applyFont="1"/>
    <xf numFmtId="167" fontId="5" fillId="0" borderId="0" xfId="0" applyNumberFormat="1" applyFont="1" applyAlignment="1"/>
    <xf numFmtId="0" fontId="29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166" fontId="0" fillId="0" borderId="0" xfId="0" applyNumberFormat="1"/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30" fillId="0" borderId="0" xfId="0" applyFont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31" fillId="5" borderId="1" xfId="0" applyFont="1" applyFill="1" applyBorder="1"/>
    <xf numFmtId="0" fontId="32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0" fontId="0" fillId="2" borderId="1" xfId="0" applyFill="1" applyBorder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5" fillId="2" borderId="1" xfId="725" applyFont="1" applyFill="1" applyBorder="1" applyAlignment="1"/>
    <xf numFmtId="0" fontId="26" fillId="0" borderId="0" xfId="727" applyFont="1" applyFill="1" applyAlignment="1">
      <alignment wrapText="1"/>
    </xf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3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19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H72"/>
  <sheetViews>
    <sheetView tabSelected="1" zoomScale="119" zoomScaleNormal="115" workbookViewId="0">
      <selection activeCell="B7" sqref="B7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4" customWidth="1"/>
    <col min="5" max="5" width="58.08984375" style="15" customWidth="1"/>
    <col min="6" max="6" width="19.90625" style="15" customWidth="1"/>
    <col min="7" max="16384" width="14.36328125" style="15"/>
  </cols>
  <sheetData>
    <row r="1" spans="1:7" ht="27" customHeight="1" x14ac:dyDescent="0.35">
      <c r="A1" s="1" t="s">
        <v>100</v>
      </c>
      <c r="B1" s="48" t="s">
        <v>165</v>
      </c>
      <c r="C1" s="95" t="s">
        <v>213</v>
      </c>
      <c r="D1" s="110" t="s">
        <v>214</v>
      </c>
      <c r="E1" s="110" t="s">
        <v>215</v>
      </c>
      <c r="F1" s="95"/>
      <c r="G1" s="96"/>
    </row>
    <row r="2" spans="1:7" ht="16" customHeight="1" x14ac:dyDescent="0.3">
      <c r="A2" s="15" t="s">
        <v>192</v>
      </c>
      <c r="B2" s="48"/>
    </row>
    <row r="3" spans="1:7" ht="16" customHeight="1" x14ac:dyDescent="0.3">
      <c r="A3" s="1"/>
      <c r="B3" s="9" t="s">
        <v>194</v>
      </c>
      <c r="C3" s="73">
        <v>2017</v>
      </c>
    </row>
    <row r="4" spans="1:7" ht="16" customHeight="1" x14ac:dyDescent="0.3">
      <c r="A4" s="1"/>
      <c r="B4" s="12" t="s">
        <v>193</v>
      </c>
      <c r="C4" s="74">
        <v>2030</v>
      </c>
    </row>
    <row r="5" spans="1:7" ht="16" customHeight="1" x14ac:dyDescent="0.3">
      <c r="A5" s="1"/>
      <c r="B5" s="48"/>
    </row>
    <row r="6" spans="1:7" ht="15" customHeight="1" x14ac:dyDescent="0.25">
      <c r="A6" s="15" t="s">
        <v>48</v>
      </c>
    </row>
    <row r="7" spans="1:7" ht="15" customHeight="1" x14ac:dyDescent="0.35">
      <c r="B7" s="9" t="s">
        <v>106</v>
      </c>
      <c r="C7" s="135">
        <v>0.56999999999999995</v>
      </c>
      <c r="D7" s="108" t="s">
        <v>203</v>
      </c>
      <c r="E7" s="112" t="s">
        <v>251</v>
      </c>
      <c r="F7" s="98"/>
    </row>
    <row r="8" spans="1:7" ht="38.25" customHeight="1" x14ac:dyDescent="0.3">
      <c r="A8" s="107"/>
      <c r="B8" s="12" t="s">
        <v>107</v>
      </c>
      <c r="C8" s="129">
        <v>0.48570000000000002</v>
      </c>
      <c r="D8" s="108" t="s">
        <v>216</v>
      </c>
      <c r="E8" s="111" t="s">
        <v>227</v>
      </c>
      <c r="F8" s="98"/>
    </row>
    <row r="9" spans="1:7" ht="38.25" customHeight="1" x14ac:dyDescent="0.3">
      <c r="A9" s="107"/>
      <c r="B9" s="12"/>
      <c r="C9" s="130">
        <v>0.66</v>
      </c>
      <c r="D9" s="108" t="s">
        <v>216</v>
      </c>
      <c r="E9" s="111" t="s">
        <v>228</v>
      </c>
      <c r="F9" s="98"/>
      <c r="G9" s="16"/>
    </row>
    <row r="10" spans="1:7" ht="15" customHeight="1" x14ac:dyDescent="0.3">
      <c r="A10" s="107"/>
      <c r="B10" s="12" t="s">
        <v>105</v>
      </c>
      <c r="C10" s="129">
        <v>0.36420000000000002</v>
      </c>
      <c r="D10" s="108" t="s">
        <v>216</v>
      </c>
      <c r="E10" s="112"/>
    </row>
    <row r="11" spans="1:7" ht="15" customHeight="1" x14ac:dyDescent="0.3">
      <c r="A11" s="107"/>
      <c r="B11" s="9" t="s">
        <v>108</v>
      </c>
      <c r="C11" s="129">
        <v>0.28739999999999999</v>
      </c>
      <c r="D11" s="108" t="s">
        <v>216</v>
      </c>
      <c r="E11" s="112" t="s">
        <v>238</v>
      </c>
      <c r="F11" s="98"/>
    </row>
    <row r="12" spans="1:7" ht="15" customHeight="1" x14ac:dyDescent="0.3">
      <c r="A12" s="107"/>
      <c r="B12" s="9" t="s">
        <v>109</v>
      </c>
      <c r="C12" s="129">
        <v>0.13800000000000001</v>
      </c>
      <c r="D12" s="108" t="s">
        <v>216</v>
      </c>
      <c r="E12" s="112" t="s">
        <v>239</v>
      </c>
      <c r="F12" s="98"/>
    </row>
    <row r="13" spans="1:7" ht="15" customHeight="1" x14ac:dyDescent="0.3">
      <c r="A13" s="107"/>
      <c r="B13" s="9" t="s">
        <v>110</v>
      </c>
      <c r="C13" s="129">
        <v>0.13400000000000001</v>
      </c>
      <c r="D13" s="108" t="s">
        <v>216</v>
      </c>
      <c r="E13" s="112"/>
      <c r="F13" s="98"/>
    </row>
    <row r="14" spans="1:7" ht="15" customHeight="1" x14ac:dyDescent="0.25">
      <c r="B14" s="15"/>
    </row>
    <row r="15" spans="1:7" ht="15" customHeight="1" x14ac:dyDescent="0.3">
      <c r="A15" s="15" t="s">
        <v>30</v>
      </c>
      <c r="B15" s="21"/>
    </row>
    <row r="16" spans="1:7" ht="15" customHeight="1" x14ac:dyDescent="0.25">
      <c r="B16" s="12" t="s">
        <v>94</v>
      </c>
      <c r="C16" s="130">
        <v>0.59699999999999998</v>
      </c>
      <c r="D16" s="108" t="s">
        <v>249</v>
      </c>
      <c r="E16" s="112" t="s">
        <v>253</v>
      </c>
    </row>
    <row r="17" spans="1:8" ht="15" customHeight="1" x14ac:dyDescent="0.25">
      <c r="B17" s="12" t="s">
        <v>95</v>
      </c>
      <c r="C17" s="130"/>
      <c r="D17" s="146"/>
      <c r="E17" s="112"/>
    </row>
    <row r="18" spans="1:8" ht="15" customHeight="1" x14ac:dyDescent="0.25">
      <c r="B18" s="12" t="s">
        <v>96</v>
      </c>
      <c r="C18" s="130"/>
      <c r="D18" s="146"/>
      <c r="E18" s="112"/>
    </row>
    <row r="19" spans="1:8" ht="15" customHeight="1" x14ac:dyDescent="0.25">
      <c r="B19" s="12" t="s">
        <v>97</v>
      </c>
      <c r="C19" s="130"/>
      <c r="D19" s="146"/>
      <c r="E19" s="112"/>
    </row>
    <row r="20" spans="1:8" ht="15" customHeight="1" x14ac:dyDescent="0.25">
      <c r="B20" s="12" t="s">
        <v>98</v>
      </c>
      <c r="C20" s="106"/>
    </row>
    <row r="21" spans="1:8" ht="15" customHeight="1" x14ac:dyDescent="0.25">
      <c r="B21" s="15"/>
      <c r="C21" s="106"/>
    </row>
    <row r="22" spans="1:8" ht="15" customHeight="1" x14ac:dyDescent="0.25">
      <c r="A22" s="15" t="s">
        <v>99</v>
      </c>
      <c r="C22" s="106"/>
    </row>
    <row r="23" spans="1:8" ht="15" customHeight="1" x14ac:dyDescent="0.35">
      <c r="A23" s="107"/>
      <c r="B23" s="22" t="s">
        <v>101</v>
      </c>
      <c r="C23" s="129">
        <v>0.2331</v>
      </c>
      <c r="D23" s="147" t="s">
        <v>216</v>
      </c>
      <c r="E23" s="113" t="s">
        <v>217</v>
      </c>
      <c r="F23" s="103"/>
      <c r="G23" s="99"/>
    </row>
    <row r="24" spans="1:8" ht="15" customHeight="1" x14ac:dyDescent="0.35">
      <c r="A24" s="107"/>
      <c r="B24" s="22" t="s">
        <v>102</v>
      </c>
      <c r="C24" s="129">
        <v>0.51759999999999995</v>
      </c>
      <c r="D24" s="147"/>
      <c r="E24" s="113" t="s">
        <v>217</v>
      </c>
      <c r="F24" s="103"/>
      <c r="G24" s="99"/>
    </row>
    <row r="25" spans="1:8" ht="15" customHeight="1" x14ac:dyDescent="0.35">
      <c r="A25" s="107"/>
      <c r="B25" s="22" t="s">
        <v>103</v>
      </c>
      <c r="C25" s="129">
        <v>0.2213</v>
      </c>
      <c r="D25" s="147"/>
      <c r="E25" s="113" t="s">
        <v>217</v>
      </c>
      <c r="F25" s="103"/>
      <c r="G25" s="99"/>
    </row>
    <row r="26" spans="1:8" ht="15" customHeight="1" x14ac:dyDescent="0.35">
      <c r="A26" s="107"/>
      <c r="B26" s="22" t="s">
        <v>104</v>
      </c>
      <c r="C26" s="129">
        <v>2.8000000000000001E-2</v>
      </c>
      <c r="D26" s="147"/>
      <c r="E26" s="113" t="s">
        <v>217</v>
      </c>
      <c r="F26" s="103"/>
      <c r="G26" s="99"/>
    </row>
    <row r="27" spans="1:8" ht="15" customHeight="1" x14ac:dyDescent="0.25">
      <c r="B27" s="22"/>
      <c r="C27" s="106"/>
    </row>
    <row r="28" spans="1:8" ht="15" customHeight="1" x14ac:dyDescent="0.25">
      <c r="A28" s="15" t="s">
        <v>197</v>
      </c>
      <c r="B28" s="22"/>
      <c r="C28" s="106"/>
      <c r="D28"/>
    </row>
    <row r="29" spans="1:8" ht="14.25" customHeight="1" x14ac:dyDescent="0.3">
      <c r="A29" s="107"/>
      <c r="B29" s="34" t="s">
        <v>75</v>
      </c>
      <c r="C29" s="132">
        <v>0.17549999999999999</v>
      </c>
      <c r="D29" s="147" t="s">
        <v>216</v>
      </c>
      <c r="E29" s="142"/>
      <c r="F29" s="98"/>
    </row>
    <row r="30" spans="1:8" ht="14.25" customHeight="1" x14ac:dyDescent="0.35">
      <c r="A30" s="107"/>
      <c r="B30" s="34" t="s">
        <v>76</v>
      </c>
      <c r="C30" s="132">
        <v>5.5E-2</v>
      </c>
      <c r="D30" s="147"/>
      <c r="E30" s="143"/>
      <c r="F30" s="98"/>
      <c r="G30" s="99"/>
      <c r="H30" s="98"/>
    </row>
    <row r="31" spans="1:8" ht="14.25" customHeight="1" x14ac:dyDescent="0.35">
      <c r="A31" s="107"/>
      <c r="B31" s="34" t="s">
        <v>77</v>
      </c>
      <c r="C31" s="132">
        <v>0.1482</v>
      </c>
      <c r="D31" s="147"/>
      <c r="E31" s="143"/>
      <c r="F31" s="98"/>
      <c r="G31" s="99"/>
      <c r="H31" s="98"/>
    </row>
    <row r="32" spans="1:8" ht="14.25" customHeight="1" x14ac:dyDescent="0.3">
      <c r="A32" s="107"/>
      <c r="B32" s="34" t="s">
        <v>78</v>
      </c>
      <c r="C32" s="132">
        <v>0.62129999999999996</v>
      </c>
      <c r="D32" s="147"/>
      <c r="E32" s="144"/>
      <c r="F32" s="98"/>
    </row>
    <row r="33" spans="1:7" ht="13" x14ac:dyDescent="0.25">
      <c r="B33" s="36" t="s">
        <v>130</v>
      </c>
      <c r="C33" s="134"/>
    </row>
    <row r="34" spans="1:7" ht="15" customHeight="1" x14ac:dyDescent="0.25">
      <c r="C34" s="134"/>
    </row>
    <row r="35" spans="1:7" ht="15" customHeight="1" x14ac:dyDescent="0.3">
      <c r="A35" s="4" t="s">
        <v>136</v>
      </c>
      <c r="C35" s="134"/>
    </row>
    <row r="36" spans="1:7" ht="15" customHeight="1" x14ac:dyDescent="0.25">
      <c r="A36" s="15" t="s">
        <v>74</v>
      </c>
      <c r="B36" s="9"/>
      <c r="C36" s="134"/>
      <c r="D36"/>
    </row>
    <row r="37" spans="1:7" ht="15" customHeight="1" x14ac:dyDescent="0.3">
      <c r="A37" s="107"/>
      <c r="B37" s="49" t="s">
        <v>92</v>
      </c>
      <c r="C37" s="133">
        <v>21.6309</v>
      </c>
      <c r="D37" s="147" t="s">
        <v>216</v>
      </c>
      <c r="E37" s="125"/>
      <c r="F37" s="100"/>
      <c r="G37" s="100"/>
    </row>
    <row r="38" spans="1:7" ht="15" customHeight="1" x14ac:dyDescent="0.3">
      <c r="A38" s="107"/>
      <c r="B38" s="19" t="s">
        <v>91</v>
      </c>
      <c r="C38" s="133">
        <v>62.091899999999995</v>
      </c>
      <c r="D38" s="147"/>
      <c r="E38" s="125"/>
      <c r="F38" s="100"/>
      <c r="G38" s="100"/>
    </row>
    <row r="39" spans="1:7" ht="15" customHeight="1" x14ac:dyDescent="0.3">
      <c r="A39" s="107"/>
      <c r="B39" s="19" t="s">
        <v>90</v>
      </c>
      <c r="C39" s="133">
        <v>133.58539999999999</v>
      </c>
      <c r="D39" s="147"/>
      <c r="E39" s="125"/>
      <c r="F39" s="100"/>
      <c r="G39" s="119"/>
    </row>
    <row r="40" spans="1:7" ht="15" customHeight="1" x14ac:dyDescent="0.35">
      <c r="B40" s="19" t="s">
        <v>237</v>
      </c>
      <c r="C40" s="131">
        <v>846</v>
      </c>
      <c r="D40" s="147"/>
      <c r="E40" s="125" t="s">
        <v>245</v>
      </c>
      <c r="F40" s="98"/>
      <c r="G40" s="120"/>
    </row>
    <row r="41" spans="1:7" ht="26.65" customHeight="1" x14ac:dyDescent="0.25">
      <c r="B41" s="19" t="s">
        <v>89</v>
      </c>
      <c r="C41" s="130">
        <v>0.13</v>
      </c>
      <c r="D41" s="105" t="s">
        <v>205</v>
      </c>
      <c r="E41" s="124" t="s">
        <v>254</v>
      </c>
      <c r="F41" s="98"/>
      <c r="G41" s="121"/>
    </row>
    <row r="42" spans="1:7" ht="15" customHeight="1" x14ac:dyDescent="0.25">
      <c r="B42" s="49" t="s">
        <v>93</v>
      </c>
      <c r="C42" s="133">
        <v>27.27</v>
      </c>
      <c r="D42" s="109" t="s">
        <v>240</v>
      </c>
      <c r="E42" s="125" t="s">
        <v>255</v>
      </c>
      <c r="G42" s="122"/>
    </row>
    <row r="43" spans="1:7" ht="15.75" customHeight="1" x14ac:dyDescent="0.25">
      <c r="C43" s="134"/>
      <c r="D43" s="85"/>
      <c r="G43" s="123"/>
    </row>
    <row r="44" spans="1:7" ht="15.75" customHeight="1" x14ac:dyDescent="0.25">
      <c r="A44" s="15" t="s">
        <v>134</v>
      </c>
      <c r="C44" s="134"/>
      <c r="D44"/>
    </row>
    <row r="45" spans="1:7" ht="15.75" customHeight="1" x14ac:dyDescent="0.25">
      <c r="B45" s="19" t="s">
        <v>9</v>
      </c>
      <c r="C45" s="130">
        <v>1.9099999999999999E-2</v>
      </c>
      <c r="D45" s="148" t="s">
        <v>241</v>
      </c>
      <c r="E45" s="145" t="s">
        <v>256</v>
      </c>
    </row>
    <row r="46" spans="1:7" ht="15.75" customHeight="1" x14ac:dyDescent="0.25">
      <c r="B46" s="19" t="s">
        <v>11</v>
      </c>
      <c r="C46" s="130">
        <v>9.98E-2</v>
      </c>
      <c r="D46" s="148"/>
      <c r="E46" s="145"/>
    </row>
    <row r="47" spans="1:7" ht="15.75" customHeight="1" x14ac:dyDescent="0.25">
      <c r="B47" s="19" t="s">
        <v>12</v>
      </c>
      <c r="C47" s="130">
        <v>0.2</v>
      </c>
      <c r="D47" s="148"/>
      <c r="E47" s="145"/>
    </row>
    <row r="48" spans="1:7" ht="15" customHeight="1" x14ac:dyDescent="0.25">
      <c r="B48" s="19" t="s">
        <v>26</v>
      </c>
      <c r="C48" s="126"/>
      <c r="D48" s="85"/>
      <c r="E48" s="20"/>
    </row>
    <row r="49" spans="1:7" ht="15.75" customHeight="1" x14ac:dyDescent="0.25">
      <c r="D49" s="85"/>
    </row>
    <row r="50" spans="1:7" ht="15.75" customHeight="1" x14ac:dyDescent="0.25">
      <c r="A50" s="15" t="s">
        <v>72</v>
      </c>
      <c r="D50"/>
    </row>
    <row r="51" spans="1:7" ht="15.75" customHeight="1" x14ac:dyDescent="0.25">
      <c r="B51" s="19" t="s">
        <v>125</v>
      </c>
      <c r="C51" s="7">
        <v>3.3</v>
      </c>
      <c r="D51" s="148" t="s">
        <v>242</v>
      </c>
      <c r="E51" s="145" t="s">
        <v>257</v>
      </c>
    </row>
    <row r="52" spans="1:7" ht="15" customHeight="1" x14ac:dyDescent="0.25">
      <c r="B52" s="19" t="s">
        <v>126</v>
      </c>
      <c r="C52" s="7">
        <v>3.3</v>
      </c>
      <c r="D52" s="148"/>
      <c r="E52" s="145"/>
    </row>
    <row r="53" spans="1:7" ht="15.75" customHeight="1" x14ac:dyDescent="0.25">
      <c r="B53" s="19" t="s">
        <v>127</v>
      </c>
      <c r="C53" s="7">
        <v>3.3</v>
      </c>
      <c r="D53" s="148"/>
      <c r="E53" s="145"/>
    </row>
    <row r="54" spans="1:7" ht="15.75" customHeight="1" x14ac:dyDescent="0.25">
      <c r="B54" s="19" t="s">
        <v>128</v>
      </c>
      <c r="C54" s="7">
        <v>3.3</v>
      </c>
      <c r="D54" s="148"/>
      <c r="E54" s="145"/>
    </row>
    <row r="55" spans="1:7" ht="15.75" customHeight="1" x14ac:dyDescent="0.25">
      <c r="B55" s="19" t="s">
        <v>129</v>
      </c>
      <c r="C55" s="7">
        <v>3.3</v>
      </c>
      <c r="D55" s="148"/>
      <c r="E55" s="145"/>
    </row>
    <row r="57" spans="1:7" ht="15.75" customHeight="1" x14ac:dyDescent="0.25">
      <c r="A57" s="15" t="s">
        <v>135</v>
      </c>
      <c r="D57"/>
    </row>
    <row r="58" spans="1:7" ht="15.75" customHeight="1" x14ac:dyDescent="0.35">
      <c r="B58" s="9" t="s">
        <v>111</v>
      </c>
      <c r="C58" s="129">
        <v>0.33150000000000002</v>
      </c>
      <c r="D58" s="108" t="s">
        <v>216</v>
      </c>
      <c r="E58" s="128" t="s">
        <v>218</v>
      </c>
      <c r="F58" s="98"/>
      <c r="G58" s="99"/>
    </row>
    <row r="59" spans="1:7" ht="65.650000000000006" customHeight="1" x14ac:dyDescent="0.25">
      <c r="B59" s="19" t="s">
        <v>133</v>
      </c>
      <c r="C59" s="136">
        <v>0.43519999999999998</v>
      </c>
      <c r="D59" s="105" t="s">
        <v>243</v>
      </c>
      <c r="E59" s="127" t="s">
        <v>244</v>
      </c>
    </row>
    <row r="60" spans="1:7" ht="15.75" customHeight="1" x14ac:dyDescent="0.25">
      <c r="C60" s="106"/>
    </row>
    <row r="61" spans="1:7" ht="15.75" customHeight="1" x14ac:dyDescent="0.3">
      <c r="A61" s="101" t="s">
        <v>219</v>
      </c>
      <c r="C61" s="97"/>
      <c r="F61" s="98"/>
    </row>
    <row r="62" spans="1:7" ht="15.75" customHeight="1" x14ac:dyDescent="0.3">
      <c r="A62" s="107"/>
      <c r="B62" s="29" t="s">
        <v>220</v>
      </c>
      <c r="C62" s="129">
        <v>0.157</v>
      </c>
      <c r="D62" s="108" t="s">
        <v>216</v>
      </c>
      <c r="E62" s="112"/>
      <c r="F62" s="98"/>
    </row>
    <row r="63" spans="1:7" ht="15.75" customHeight="1" x14ac:dyDescent="0.3">
      <c r="A63" s="107"/>
      <c r="B63" s="29" t="s">
        <v>221</v>
      </c>
      <c r="C63" s="129">
        <v>4.8000000000000001E-2</v>
      </c>
      <c r="D63" s="108" t="s">
        <v>216</v>
      </c>
      <c r="E63" s="112"/>
      <c r="F63" s="98"/>
    </row>
    <row r="64" spans="1:7" ht="15.75" customHeight="1" x14ac:dyDescent="0.3">
      <c r="A64" s="107"/>
      <c r="B64" s="102" t="s">
        <v>222</v>
      </c>
      <c r="C64" s="129">
        <v>0</v>
      </c>
      <c r="D64" s="108" t="s">
        <v>216</v>
      </c>
      <c r="E64" s="112"/>
      <c r="F64" s="98"/>
    </row>
    <row r="65" spans="1:6" ht="15.75" customHeight="1" x14ac:dyDescent="0.3">
      <c r="A65" s="107"/>
      <c r="B65" s="102" t="s">
        <v>223</v>
      </c>
      <c r="C65" s="129">
        <v>0.1076</v>
      </c>
      <c r="D65" s="108" t="s">
        <v>216</v>
      </c>
      <c r="E65" s="112"/>
      <c r="F65" s="98"/>
    </row>
    <row r="66" spans="1:6" ht="15.75" customHeight="1" x14ac:dyDescent="0.3">
      <c r="A66" s="107"/>
      <c r="B66" s="102" t="s">
        <v>224</v>
      </c>
      <c r="C66" s="129">
        <v>0.28570000000000001</v>
      </c>
      <c r="D66" s="108" t="s">
        <v>216</v>
      </c>
      <c r="E66" s="112"/>
      <c r="F66" s="98"/>
    </row>
    <row r="67" spans="1:6" ht="15.75" customHeight="1" x14ac:dyDescent="0.3">
      <c r="A67" s="107"/>
      <c r="B67" s="102" t="s">
        <v>225</v>
      </c>
      <c r="C67" s="129">
        <v>0.23519999999999999</v>
      </c>
      <c r="D67" s="108" t="s">
        <v>216</v>
      </c>
      <c r="E67" s="112"/>
      <c r="F67" s="98"/>
    </row>
    <row r="68" spans="1:6" ht="15.75" customHeight="1" x14ac:dyDescent="0.3">
      <c r="A68" s="107"/>
      <c r="B68" s="102" t="s">
        <v>226</v>
      </c>
      <c r="C68" s="129">
        <v>0.12520000000000001</v>
      </c>
      <c r="D68" s="108" t="s">
        <v>216</v>
      </c>
      <c r="E68" s="112"/>
      <c r="F68" s="98"/>
    </row>
    <row r="69" spans="1:6" ht="15.75" customHeight="1" x14ac:dyDescent="0.25">
      <c r="B69" s="102"/>
      <c r="C69" s="97"/>
      <c r="F69" s="98"/>
    </row>
    <row r="70" spans="1:6" ht="15.75" customHeight="1" x14ac:dyDescent="0.3">
      <c r="A70" s="107"/>
      <c r="B70" s="19" t="s">
        <v>229</v>
      </c>
      <c r="C70" s="129">
        <v>0.157</v>
      </c>
      <c r="D70" s="108" t="s">
        <v>216</v>
      </c>
      <c r="E70" s="112"/>
      <c r="F70" s="98"/>
    </row>
    <row r="71" spans="1:6" ht="15.75" customHeight="1" x14ac:dyDescent="0.25">
      <c r="C71" s="106"/>
    </row>
    <row r="72" spans="1:6" ht="15.75" customHeight="1" x14ac:dyDescent="0.25">
      <c r="B72" s="19" t="s">
        <v>250</v>
      </c>
      <c r="C72" s="129">
        <v>0.80359999999999998</v>
      </c>
      <c r="D72" s="108" t="s">
        <v>252</v>
      </c>
      <c r="E72" s="112" t="s">
        <v>251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56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56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56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56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56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9.9763560000000001E-2</v>
      </c>
      <c r="C3" s="30">
        <f>frac_mam_1_5months * 2.6</f>
        <v>9.9763560000000001E-2</v>
      </c>
      <c r="D3" s="30">
        <f>frac_mam_6_11months * 2.6</f>
        <v>0.12823226000000001</v>
      </c>
      <c r="E3" s="30">
        <f>frac_mam_12_23months * 2.6</f>
        <v>0.19816342000000001</v>
      </c>
      <c r="F3" s="30">
        <f>frac_mam_24_59months * 2.6</f>
        <v>0.1974583</v>
      </c>
    </row>
    <row r="4" spans="1:6" ht="15.75" customHeight="1" x14ac:dyDescent="0.25">
      <c r="A4" s="3" t="s">
        <v>66</v>
      </c>
      <c r="B4" s="30">
        <f>frac_sam_1month * 2.6</f>
        <v>0.25068316000000002</v>
      </c>
      <c r="C4" s="30">
        <f>frac_sam_1_5months * 2.6</f>
        <v>0.25068316000000002</v>
      </c>
      <c r="D4" s="30">
        <f>frac_sam_6_11months * 2.6</f>
        <v>0.15485183999999999</v>
      </c>
      <c r="E4" s="30">
        <f>frac_sam_12_23months * 2.6</f>
        <v>3.3730839999999998E-2</v>
      </c>
      <c r="F4" s="30">
        <f>frac_sam_24_59months * 2.6</f>
        <v>7.3837399999999997E-2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0.56999999999999995</v>
      </c>
      <c r="E2" s="40">
        <f>food_insecure</f>
        <v>0.56999999999999995</v>
      </c>
      <c r="F2" s="40">
        <f>food_insecure</f>
        <v>0.56999999999999995</v>
      </c>
      <c r="G2" s="40">
        <f>food_insecure</f>
        <v>0.56999999999999995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0.56999999999999995</v>
      </c>
      <c r="F5" s="40">
        <f>food_insecure</f>
        <v>0.56999999999999995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0.56999999999999995</v>
      </c>
      <c r="F8" s="40">
        <f>food_insecure</f>
        <v>0.56999999999999995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0.13800000000000001</v>
      </c>
      <c r="E9" s="40">
        <f>IF(ISBLANK(comm_deliv), frac_children_health_facility,1)</f>
        <v>0.13800000000000001</v>
      </c>
      <c r="F9" s="40">
        <f>IF(ISBLANK(comm_deliv), frac_children_health_facility,1)</f>
        <v>0.13800000000000001</v>
      </c>
      <c r="G9" s="40">
        <f>IF(ISBLANK(comm_deliv), frac_children_health_facility,1)</f>
        <v>0.13800000000000001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0.56999999999999995</v>
      </c>
      <c r="I14" s="40">
        <f>food_insecure</f>
        <v>0.56999999999999995</v>
      </c>
      <c r="J14" s="40">
        <f>food_insecure</f>
        <v>0.56999999999999995</v>
      </c>
      <c r="K14" s="40">
        <f>food_insecure</f>
        <v>0.56999999999999995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0.28739999999999999</v>
      </c>
      <c r="I17" s="40">
        <f>frac_PW_health_facility</f>
        <v>0.28739999999999999</v>
      </c>
      <c r="J17" s="40">
        <f>frac_PW_health_facility</f>
        <v>0.28739999999999999</v>
      </c>
      <c r="K17" s="40">
        <f>frac_PW_health_facility</f>
        <v>0.28739999999999999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0.48570000000000002</v>
      </c>
      <c r="I18" s="40">
        <f>frac_malaria_risk</f>
        <v>0.48570000000000002</v>
      </c>
      <c r="J18" s="40">
        <f>frac_malaria_risk</f>
        <v>0.48570000000000002</v>
      </c>
      <c r="K18" s="40">
        <f>frac_malaria_risk</f>
        <v>0.48570000000000002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0.38764725999999994</v>
      </c>
      <c r="M24" s="40">
        <f>(1-food_insecure)*(0.49)+food_insecure*(0.7)</f>
        <v>0.60970000000000002</v>
      </c>
      <c r="N24" s="40">
        <f>(1-food_insecure)*(0.49)+food_insecure*(0.7)</f>
        <v>0.60970000000000002</v>
      </c>
      <c r="O24" s="40">
        <f>(1-food_insecure)*(0.49)+food_insecure*(0.7)</f>
        <v>0.60970000000000002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0.16613453999999997</v>
      </c>
      <c r="M25" s="40">
        <f>(1-food_insecure)*(0.21)+food_insecure*(0.3)</f>
        <v>0.26129999999999998</v>
      </c>
      <c r="N25" s="40">
        <f>(1-food_insecure)*(0.21)+food_insecure*(0.3)</f>
        <v>0.26129999999999998</v>
      </c>
      <c r="O25" s="40">
        <f>(1-food_insecure)*(0.21)+food_insecure*(0.3)</f>
        <v>0.26129999999999998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8.2018199999999986E-2</v>
      </c>
      <c r="M26" s="40">
        <f>(1-food_insecure)*(0.3)</f>
        <v>0.129</v>
      </c>
      <c r="N26" s="40">
        <f>(1-food_insecure)*(0.3)</f>
        <v>0.129</v>
      </c>
      <c r="O26" s="40">
        <f>(1-food_insecure)*(0.3)</f>
        <v>0.129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0.36420000000000002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0.48570000000000002</v>
      </c>
      <c r="D33" s="40">
        <f t="shared" si="3"/>
        <v>0.48570000000000002</v>
      </c>
      <c r="E33" s="40">
        <f t="shared" si="3"/>
        <v>0.48570000000000002</v>
      </c>
      <c r="F33" s="40">
        <f t="shared" si="3"/>
        <v>0.48570000000000002</v>
      </c>
      <c r="G33" s="40">
        <f t="shared" si="3"/>
        <v>0.48570000000000002</v>
      </c>
      <c r="H33" s="40">
        <f t="shared" si="3"/>
        <v>0.48570000000000002</v>
      </c>
      <c r="I33" s="40">
        <f t="shared" si="3"/>
        <v>0.48570000000000002</v>
      </c>
      <c r="J33" s="40">
        <f t="shared" si="3"/>
        <v>0.48570000000000002</v>
      </c>
      <c r="K33" s="40">
        <f t="shared" si="3"/>
        <v>0.48570000000000002</v>
      </c>
      <c r="L33" s="40">
        <f t="shared" si="3"/>
        <v>0.48570000000000002</v>
      </c>
      <c r="M33" s="40">
        <f t="shared" si="3"/>
        <v>0.48570000000000002</v>
      </c>
      <c r="N33" s="40">
        <f t="shared" si="3"/>
        <v>0.48570000000000002</v>
      </c>
      <c r="O33" s="40">
        <f t="shared" si="3"/>
        <v>0.48570000000000002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activeCell="E14" sqref="E14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80">
        <v>126766.8</v>
      </c>
      <c r="C2" s="81">
        <v>647000</v>
      </c>
      <c r="D2" s="81">
        <v>156000</v>
      </c>
      <c r="E2" s="81">
        <v>233000</v>
      </c>
      <c r="F2" s="81">
        <v>158000</v>
      </c>
      <c r="G2" s="81">
        <v>96000</v>
      </c>
      <c r="H2" s="25">
        <f t="shared" ref="H2:H40" si="0">D2+E2+F2+G2</f>
        <v>643000</v>
      </c>
      <c r="I2" s="25">
        <f>(B2 + stillbirth*B2/(1000-stillbirth))/(1-abortion)</f>
        <v>149793.84363311648</v>
      </c>
      <c r="J2" s="25">
        <f>H2-I2</f>
        <v>493206.15636688354</v>
      </c>
    </row>
    <row r="3" spans="1:10" ht="15.75" customHeight="1" x14ac:dyDescent="0.25">
      <c r="A3" s="9">
        <v>2016</v>
      </c>
      <c r="B3" s="80">
        <v>130122.71136486395</v>
      </c>
      <c r="C3" s="81">
        <v>663244.08095799061</v>
      </c>
      <c r="D3" s="81">
        <v>162024.30690124902</v>
      </c>
      <c r="E3" s="81">
        <v>240619.65251950195</v>
      </c>
      <c r="F3" s="81">
        <v>163367.37300491976</v>
      </c>
      <c r="G3" s="81">
        <v>99001.245746698187</v>
      </c>
      <c r="H3" s="25">
        <f t="shared" si="0"/>
        <v>665012.57817236893</v>
      </c>
      <c r="I3" s="25">
        <f t="shared" ref="I3:I40" si="1">(B3 + stillbirth*B3/(1000-stillbirth))/(1-abortion)</f>
        <v>153759.35244327047</v>
      </c>
      <c r="J3" s="25">
        <f t="shared" ref="J3:J15" si="2">H3-I3</f>
        <v>511253.22572909843</v>
      </c>
    </row>
    <row r="4" spans="1:10" ht="15.75" customHeight="1" x14ac:dyDescent="0.25">
      <c r="A4" s="9">
        <v>2017</v>
      </c>
      <c r="B4" s="80">
        <v>133567.4641384313</v>
      </c>
      <c r="C4" s="81">
        <v>679895.99833973672</v>
      </c>
      <c r="D4" s="81">
        <v>168281.25658224444</v>
      </c>
      <c r="E4" s="81">
        <v>248488.48574508954</v>
      </c>
      <c r="F4" s="81">
        <v>168917.0795096746</v>
      </c>
      <c r="G4" s="81">
        <v>102096.31936873047</v>
      </c>
      <c r="H4" s="25">
        <f t="shared" si="0"/>
        <v>687783.141205739</v>
      </c>
      <c r="I4" s="25">
        <f t="shared" si="1"/>
        <v>157829.84060198782</v>
      </c>
      <c r="J4" s="25">
        <f t="shared" si="2"/>
        <v>529953.30060375121</v>
      </c>
    </row>
    <row r="5" spans="1:10" ht="15.75" customHeight="1" x14ac:dyDescent="0.25">
      <c r="A5" s="9">
        <v>2018</v>
      </c>
      <c r="B5" s="80">
        <v>137103.41022903405</v>
      </c>
      <c r="C5" s="81">
        <v>696965.99160101113</v>
      </c>
      <c r="D5" s="81">
        <v>174779.83309108595</v>
      </c>
      <c r="E5" s="81">
        <v>256614.64847674101</v>
      </c>
      <c r="F5" s="81">
        <v>174655.31351366267</v>
      </c>
      <c r="G5" s="81">
        <v>105288.15420476111</v>
      </c>
      <c r="H5" s="25">
        <f t="shared" si="0"/>
        <v>711337.94928625075</v>
      </c>
      <c r="I5" s="25">
        <f t="shared" si="1"/>
        <v>162008.08723904798</v>
      </c>
      <c r="J5" s="25">
        <f t="shared" si="2"/>
        <v>549329.86204720277</v>
      </c>
    </row>
    <row r="6" spans="1:10" ht="15.75" customHeight="1" x14ac:dyDescent="0.25">
      <c r="A6" s="9">
        <v>2019</v>
      </c>
      <c r="B6" s="80">
        <v>140538.69823444635</v>
      </c>
      <c r="C6" s="81">
        <v>714233.93388980522</v>
      </c>
      <c r="D6" s="81">
        <v>181572.37956235741</v>
      </c>
      <c r="E6" s="81">
        <v>265146.91795357037</v>
      </c>
      <c r="F6" s="81">
        <v>180629.54204077594</v>
      </c>
      <c r="G6" s="81">
        <v>108750.38720983849</v>
      </c>
      <c r="H6" s="25">
        <f t="shared" si="0"/>
        <v>736099.2267665423</v>
      </c>
      <c r="I6" s="25">
        <f t="shared" si="1"/>
        <v>166067.39136534487</v>
      </c>
      <c r="J6" s="25">
        <f t="shared" si="2"/>
        <v>570031.83540119743</v>
      </c>
    </row>
    <row r="7" spans="1:10" ht="15.75" customHeight="1" x14ac:dyDescent="0.25">
      <c r="A7" s="9">
        <v>2020</v>
      </c>
      <c r="B7" s="80">
        <v>143912.54871535196</v>
      </c>
      <c r="C7" s="81">
        <v>731797.1749037524</v>
      </c>
      <c r="D7" s="81">
        <v>188638.35361400546</v>
      </c>
      <c r="E7" s="81">
        <v>274164.7557938926</v>
      </c>
      <c r="F7" s="81">
        <v>186804.24726463421</v>
      </c>
      <c r="G7" s="81">
        <v>112762.36517745364</v>
      </c>
      <c r="H7" s="25">
        <f t="shared" si="0"/>
        <v>762369.72184998589</v>
      </c>
      <c r="I7" s="25">
        <f t="shared" si="1"/>
        <v>170054.09791136708</v>
      </c>
      <c r="J7" s="25">
        <f t="shared" si="2"/>
        <v>592315.62393861881</v>
      </c>
    </row>
    <row r="8" spans="1:10" ht="15.75" customHeight="1" x14ac:dyDescent="0.25">
      <c r="A8" s="9">
        <v>2021</v>
      </c>
      <c r="B8" s="80">
        <v>147553.44389318317</v>
      </c>
      <c r="C8" s="81">
        <v>749403.96098988852</v>
      </c>
      <c r="D8" s="81">
        <v>195937.76015641342</v>
      </c>
      <c r="E8" s="81">
        <v>283720.09360652784</v>
      </c>
      <c r="F8" s="81">
        <v>193164.84697419131</v>
      </c>
      <c r="G8" s="81">
        <v>116601.76739152595</v>
      </c>
      <c r="H8" s="25">
        <f t="shared" si="0"/>
        <v>789424.46812865848</v>
      </c>
      <c r="I8" s="25">
        <f t="shared" si="1"/>
        <v>174356.35751682069</v>
      </c>
      <c r="J8" s="25">
        <f t="shared" si="2"/>
        <v>615068.11061183782</v>
      </c>
    </row>
    <row r="9" spans="1:10" ht="15.75" customHeight="1" x14ac:dyDescent="0.25">
      <c r="A9" s="9">
        <v>2022</v>
      </c>
      <c r="B9" s="80">
        <v>151149.86504054573</v>
      </c>
      <c r="C9" s="81">
        <v>768326.33748195344</v>
      </c>
      <c r="D9" s="81">
        <v>203449.8146576412</v>
      </c>
      <c r="E9" s="81">
        <v>293813.63528376422</v>
      </c>
      <c r="F9" s="81">
        <v>199706.67180003089</v>
      </c>
      <c r="G9" s="81">
        <v>120613.50718282512</v>
      </c>
      <c r="H9" s="25">
        <f t="shared" si="0"/>
        <v>817583.62892426143</v>
      </c>
      <c r="I9" s="25">
        <f t="shared" si="1"/>
        <v>178606.06443524774</v>
      </c>
      <c r="J9" s="25">
        <f t="shared" si="2"/>
        <v>638977.56448901375</v>
      </c>
    </row>
    <row r="10" spans="1:10" ht="15.75" customHeight="1" x14ac:dyDescent="0.25">
      <c r="A10" s="9">
        <v>2023</v>
      </c>
      <c r="B10" s="80">
        <v>154819.71445642773</v>
      </c>
      <c r="C10" s="81">
        <v>787254.14550221246</v>
      </c>
      <c r="D10" s="81">
        <v>211118.25762735007</v>
      </c>
      <c r="E10" s="81">
        <v>304495.16165243002</v>
      </c>
      <c r="F10" s="81">
        <v>206407.52310066536</v>
      </c>
      <c r="G10" s="81">
        <v>124804.42361413939</v>
      </c>
      <c r="H10" s="25">
        <f t="shared" si="0"/>
        <v>846825.36599458498</v>
      </c>
      <c r="I10" s="25">
        <f t="shared" si="1"/>
        <v>182942.53778284122</v>
      </c>
      <c r="J10" s="25">
        <f t="shared" si="2"/>
        <v>663882.82821174373</v>
      </c>
    </row>
    <row r="11" spans="1:10" ht="15.75" customHeight="1" x14ac:dyDescent="0.25">
      <c r="A11" s="9">
        <v>2024</v>
      </c>
      <c r="B11" s="80">
        <v>158793.82398877983</v>
      </c>
      <c r="C11" s="81">
        <v>806755.28149851947</v>
      </c>
      <c r="D11" s="81">
        <v>218885.05380936564</v>
      </c>
      <c r="E11" s="81">
        <v>315818.55957770156</v>
      </c>
      <c r="F11" s="81">
        <v>213267.24778201545</v>
      </c>
      <c r="G11" s="81">
        <v>129174.44863509276</v>
      </c>
      <c r="H11" s="25">
        <f t="shared" si="0"/>
        <v>877145.30980417551</v>
      </c>
      <c r="I11" s="25">
        <f t="shared" si="1"/>
        <v>187638.53974763033</v>
      </c>
      <c r="J11" s="25">
        <f t="shared" si="2"/>
        <v>689506.77005654515</v>
      </c>
    </row>
    <row r="12" spans="1:10" ht="15.75" customHeight="1" x14ac:dyDescent="0.25">
      <c r="A12" s="9">
        <v>2025</v>
      </c>
      <c r="B12" s="80">
        <v>162918.59982633535</v>
      </c>
      <c r="C12" s="81">
        <v>827048.77068472002</v>
      </c>
      <c r="D12" s="81">
        <v>226714.93003686142</v>
      </c>
      <c r="E12" s="81">
        <v>327813.70537670114</v>
      </c>
      <c r="F12" s="81">
        <v>220328.06153642744</v>
      </c>
      <c r="G12" s="81">
        <v>133704.93644266049</v>
      </c>
      <c r="H12" s="25">
        <f t="shared" si="0"/>
        <v>908561.63339265052</v>
      </c>
      <c r="I12" s="25">
        <f t="shared" si="1"/>
        <v>192512.5763789285</v>
      </c>
      <c r="J12" s="25">
        <f t="shared" si="2"/>
        <v>716049.05701372202</v>
      </c>
    </row>
    <row r="13" spans="1:10" ht="15.75" customHeight="1" x14ac:dyDescent="0.25">
      <c r="A13" s="9">
        <v>2026</v>
      </c>
      <c r="B13" s="80">
        <v>166933.29341534592</v>
      </c>
      <c r="C13" s="81">
        <v>847656.17434655095</v>
      </c>
      <c r="D13" s="81">
        <v>234543.47443998049</v>
      </c>
      <c r="E13" s="81">
        <v>340412.39970772533</v>
      </c>
      <c r="F13" s="81">
        <v>227600.94886408572</v>
      </c>
      <c r="G13" s="81">
        <v>138381.42633194203</v>
      </c>
      <c r="H13" s="25">
        <f t="shared" si="0"/>
        <v>940938.24934373354</v>
      </c>
      <c r="I13" s="25">
        <f t="shared" si="1"/>
        <v>197256.53444765884</v>
      </c>
      <c r="J13" s="25">
        <f t="shared" si="2"/>
        <v>743681.71489607473</v>
      </c>
    </row>
    <row r="14" spans="1:10" ht="15.75" customHeight="1" x14ac:dyDescent="0.25">
      <c r="A14" s="9">
        <v>2027</v>
      </c>
      <c r="B14" s="80">
        <v>171440.2090512201</v>
      </c>
      <c r="C14" s="81">
        <v>869234.6609721852</v>
      </c>
      <c r="D14" s="81">
        <v>242346.27023848254</v>
      </c>
      <c r="E14" s="81">
        <v>353555.04635703785</v>
      </c>
      <c r="F14" s="81">
        <v>235138.91858992193</v>
      </c>
      <c r="G14" s="81">
        <v>143227.32763228228</v>
      </c>
      <c r="H14" s="25">
        <f t="shared" si="0"/>
        <v>974267.56281772454</v>
      </c>
      <c r="I14" s="25">
        <f t="shared" si="1"/>
        <v>202582.12613276709</v>
      </c>
      <c r="J14" s="25">
        <f t="shared" si="2"/>
        <v>771685.43668495747</v>
      </c>
    </row>
    <row r="15" spans="1:10" ht="15.75" customHeight="1" x14ac:dyDescent="0.25">
      <c r="A15" s="9">
        <v>2028</v>
      </c>
      <c r="B15" s="80">
        <v>175633.07948186461</v>
      </c>
      <c r="C15" s="81">
        <v>891366.2350072636</v>
      </c>
      <c r="D15" s="81">
        <v>250102.5329004275</v>
      </c>
      <c r="E15" s="81">
        <v>367150.10022204247</v>
      </c>
      <c r="F15" s="81">
        <v>243001.86877243282</v>
      </c>
      <c r="G15" s="81">
        <v>148255.91016700177</v>
      </c>
      <c r="H15" s="25">
        <f t="shared" si="0"/>
        <v>1008510.4120619046</v>
      </c>
      <c r="I15" s="25">
        <f t="shared" si="1"/>
        <v>207536.62666178483</v>
      </c>
      <c r="J15" s="25">
        <f t="shared" si="2"/>
        <v>800973.78540011973</v>
      </c>
    </row>
    <row r="16" spans="1:10" ht="15.75" customHeight="1" x14ac:dyDescent="0.25">
      <c r="A16" s="9">
        <v>2029</v>
      </c>
      <c r="B16" s="8">
        <v>180043.14680071292</v>
      </c>
      <c r="C16" s="24">
        <v>913988.78205243754</v>
      </c>
      <c r="D16" s="24">
        <v>257787.48242074507</v>
      </c>
      <c r="E16" s="24">
        <v>381122.5576689163</v>
      </c>
      <c r="F16" s="24">
        <v>251254.36683953149</v>
      </c>
      <c r="G16" s="24">
        <v>153475.74828347686</v>
      </c>
      <c r="H16" s="25">
        <f t="shared" si="0"/>
        <v>1043640.1552126696</v>
      </c>
      <c r="I16" s="25">
        <f t="shared" si="1"/>
        <v>212747.77764430613</v>
      </c>
      <c r="J16" s="25">
        <f t="shared" ref="J16:J40" si="3">H16-I16</f>
        <v>830892.37756836344</v>
      </c>
    </row>
    <row r="17" spans="1:10" ht="15.75" customHeight="1" x14ac:dyDescent="0.25">
      <c r="A17" s="9">
        <v>2030</v>
      </c>
      <c r="B17" s="8">
        <v>186295.05656443266</v>
      </c>
      <c r="C17" s="24">
        <v>938965.3627016145</v>
      </c>
      <c r="D17" s="24">
        <v>265297.15578142047</v>
      </c>
      <c r="E17" s="24">
        <v>395422.36413494125</v>
      </c>
      <c r="F17" s="24">
        <v>259975.79207129605</v>
      </c>
      <c r="G17" s="24">
        <v>158872.31322643097</v>
      </c>
      <c r="H17" s="25">
        <f t="shared" si="0"/>
        <v>1079567.6252140887</v>
      </c>
      <c r="I17" s="25">
        <f t="shared" si="1"/>
        <v>220135.33963652325</v>
      </c>
      <c r="J17" s="25">
        <f t="shared" si="3"/>
        <v>859432.28557756543</v>
      </c>
    </row>
    <row r="18" spans="1:10" ht="15.75" customHeight="1" x14ac:dyDescent="0.25">
      <c r="A18" s="9" t="str">
        <f t="shared" ref="A3:A40" si="4">IF($A$2+ROW(A18)-2&lt;=end_year,A17+1,"")</f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1"/>
        <v>0</v>
      </c>
      <c r="J18" s="25">
        <f t="shared" si="3"/>
        <v>0</v>
      </c>
    </row>
    <row r="19" spans="1:10" ht="15.75" customHeight="1" x14ac:dyDescent="0.25">
      <c r="A19" s="9" t="str">
        <f t="shared" si="4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1"/>
        <v>0</v>
      </c>
      <c r="J19" s="25">
        <f t="shared" si="3"/>
        <v>0</v>
      </c>
    </row>
    <row r="20" spans="1:10" ht="15.75" customHeight="1" x14ac:dyDescent="0.25">
      <c r="A20" s="9" t="str">
        <f t="shared" si="4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1"/>
        <v>0</v>
      </c>
      <c r="J20" s="25">
        <f t="shared" si="3"/>
        <v>0</v>
      </c>
    </row>
    <row r="21" spans="1:10" ht="15.75" customHeight="1" x14ac:dyDescent="0.25">
      <c r="A21" s="9" t="str">
        <f t="shared" si="4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1"/>
        <v>0</v>
      </c>
      <c r="J21" s="25">
        <f t="shared" si="3"/>
        <v>0</v>
      </c>
    </row>
    <row r="22" spans="1:10" ht="15.75" customHeight="1" x14ac:dyDescent="0.25">
      <c r="A22" s="9" t="str">
        <f t="shared" si="4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1"/>
        <v>0</v>
      </c>
      <c r="J22" s="25">
        <f t="shared" si="3"/>
        <v>0</v>
      </c>
    </row>
    <row r="23" spans="1:10" ht="15.75" customHeight="1" x14ac:dyDescent="0.25">
      <c r="A23" s="9" t="str">
        <f t="shared" si="4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1"/>
        <v>0</v>
      </c>
      <c r="J23" s="25">
        <f t="shared" si="3"/>
        <v>0</v>
      </c>
    </row>
    <row r="24" spans="1:10" ht="15.75" customHeight="1" x14ac:dyDescent="0.25">
      <c r="A24" s="9" t="str">
        <f t="shared" si="4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1"/>
        <v>0</v>
      </c>
      <c r="J24" s="25">
        <f t="shared" si="3"/>
        <v>0</v>
      </c>
    </row>
    <row r="25" spans="1:10" ht="15.75" customHeight="1" x14ac:dyDescent="0.25">
      <c r="A25" s="9" t="str">
        <f t="shared" si="4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1"/>
        <v>0</v>
      </c>
      <c r="J25" s="25">
        <f t="shared" si="3"/>
        <v>0</v>
      </c>
    </row>
    <row r="26" spans="1:10" ht="15.75" customHeight="1" x14ac:dyDescent="0.25">
      <c r="A26" s="9" t="str">
        <f t="shared" si="4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1"/>
        <v>0</v>
      </c>
      <c r="J26" s="25">
        <f t="shared" si="3"/>
        <v>0</v>
      </c>
    </row>
    <row r="27" spans="1:10" ht="15.75" customHeight="1" x14ac:dyDescent="0.25">
      <c r="A27" s="9" t="str">
        <f t="shared" si="4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1"/>
        <v>0</v>
      </c>
      <c r="J27" s="25">
        <f t="shared" si="3"/>
        <v>0</v>
      </c>
    </row>
    <row r="28" spans="1:10" ht="15.75" customHeight="1" x14ac:dyDescent="0.25">
      <c r="A28" s="9" t="str">
        <f t="shared" si="4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1"/>
        <v>0</v>
      </c>
      <c r="J28" s="25">
        <f t="shared" si="3"/>
        <v>0</v>
      </c>
    </row>
    <row r="29" spans="1:10" ht="15.75" customHeight="1" x14ac:dyDescent="0.25">
      <c r="A29" s="9" t="str">
        <f t="shared" si="4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1"/>
        <v>0</v>
      </c>
      <c r="J29" s="25">
        <f t="shared" si="3"/>
        <v>0</v>
      </c>
    </row>
    <row r="30" spans="1:10" ht="15.75" customHeight="1" x14ac:dyDescent="0.25">
      <c r="A30" s="9" t="str">
        <f t="shared" si="4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1"/>
        <v>0</v>
      </c>
      <c r="J30" s="25">
        <f t="shared" si="3"/>
        <v>0</v>
      </c>
    </row>
    <row r="31" spans="1:10" ht="15.75" customHeight="1" x14ac:dyDescent="0.25">
      <c r="A31" s="9" t="str">
        <f t="shared" si="4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1"/>
        <v>0</v>
      </c>
      <c r="J31" s="25">
        <f t="shared" si="3"/>
        <v>0</v>
      </c>
    </row>
    <row r="32" spans="1:10" ht="15.75" customHeight="1" x14ac:dyDescent="0.25">
      <c r="A32" s="9" t="str">
        <f t="shared" si="4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1"/>
        <v>0</v>
      </c>
      <c r="J32" s="25">
        <f t="shared" si="3"/>
        <v>0</v>
      </c>
    </row>
    <row r="33" spans="1:10" ht="15.75" customHeight="1" x14ac:dyDescent="0.25">
      <c r="A33" s="9" t="str">
        <f t="shared" si="4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1"/>
        <v>0</v>
      </c>
      <c r="J33" s="25">
        <f t="shared" si="3"/>
        <v>0</v>
      </c>
    </row>
    <row r="34" spans="1:10" ht="15.75" customHeight="1" x14ac:dyDescent="0.25">
      <c r="A34" s="9" t="str">
        <f t="shared" si="4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1"/>
        <v>0</v>
      </c>
      <c r="J34" s="25">
        <f t="shared" si="3"/>
        <v>0</v>
      </c>
    </row>
    <row r="35" spans="1:10" ht="15.75" customHeight="1" x14ac:dyDescent="0.25">
      <c r="A35" s="9" t="str">
        <f t="shared" si="4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1"/>
        <v>0</v>
      </c>
      <c r="J35" s="25">
        <f t="shared" si="3"/>
        <v>0</v>
      </c>
    </row>
    <row r="36" spans="1:10" ht="15.75" customHeight="1" x14ac:dyDescent="0.25">
      <c r="A36" s="9" t="str">
        <f t="shared" si="4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1"/>
        <v>0</v>
      </c>
      <c r="J36" s="25">
        <f t="shared" si="3"/>
        <v>0</v>
      </c>
    </row>
    <row r="37" spans="1:10" ht="15.75" customHeight="1" x14ac:dyDescent="0.25">
      <c r="A37" s="9" t="str">
        <f t="shared" si="4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1"/>
        <v>0</v>
      </c>
      <c r="J37" s="25">
        <f t="shared" si="3"/>
        <v>0</v>
      </c>
    </row>
    <row r="38" spans="1:10" ht="15.75" customHeight="1" x14ac:dyDescent="0.25">
      <c r="A38" s="9" t="str">
        <f t="shared" si="4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1"/>
        <v>0</v>
      </c>
      <c r="J38" s="25">
        <f t="shared" si="3"/>
        <v>0</v>
      </c>
    </row>
    <row r="39" spans="1:10" ht="15.75" customHeight="1" x14ac:dyDescent="0.25">
      <c r="A39" s="9" t="str">
        <f t="shared" si="4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1"/>
        <v>0</v>
      </c>
      <c r="J39" s="25">
        <f t="shared" si="3"/>
        <v>0</v>
      </c>
    </row>
    <row r="40" spans="1:10" ht="15.75" customHeight="1" x14ac:dyDescent="0.25">
      <c r="A40" s="9" t="str">
        <f t="shared" si="4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1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49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50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50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50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50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50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50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50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50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50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50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50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50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50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50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50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50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50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50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50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50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50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50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50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50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50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36"/>
  <sheetViews>
    <sheetView zoomScale="90" zoomScaleNormal="60" workbookViewId="0">
      <selection activeCell="F22" sqref="F22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29">
        <v>0.66452160000000005</v>
      </c>
      <c r="D2" s="129">
        <v>0.66452160000000005</v>
      </c>
      <c r="E2" s="129">
        <v>0.3837429</v>
      </c>
      <c r="F2" s="129">
        <v>0.20594309999999999</v>
      </c>
      <c r="G2" s="129">
        <v>0.24701909999999999</v>
      </c>
      <c r="H2" s="149" t="s">
        <v>216</v>
      </c>
    </row>
    <row r="3" spans="1:15" ht="15.75" customHeight="1" x14ac:dyDescent="0.25">
      <c r="A3" s="5"/>
      <c r="B3" s="14" t="s">
        <v>119</v>
      </c>
      <c r="C3" s="129">
        <v>0.19143779999999999</v>
      </c>
      <c r="D3" s="129">
        <v>0.19143779999999999</v>
      </c>
      <c r="E3" s="129">
        <v>0.2412029</v>
      </c>
      <c r="F3" s="129">
        <v>0.27861819999999998</v>
      </c>
      <c r="G3" s="129">
        <v>0.1337914</v>
      </c>
      <c r="H3" s="149"/>
    </row>
    <row r="4" spans="1:15" ht="15.75" customHeight="1" x14ac:dyDescent="0.25">
      <c r="A4" s="5"/>
      <c r="B4" s="14" t="s">
        <v>117</v>
      </c>
      <c r="C4" s="129">
        <v>0.1158684</v>
      </c>
      <c r="D4" s="129">
        <v>0.1158684</v>
      </c>
      <c r="E4" s="129">
        <v>0.27915099999999998</v>
      </c>
      <c r="F4" s="129">
        <v>0.27820149999999999</v>
      </c>
      <c r="G4" s="129">
        <v>0.26146059999999999</v>
      </c>
      <c r="H4" s="149"/>
    </row>
    <row r="5" spans="1:15" ht="15.75" customHeight="1" x14ac:dyDescent="0.25">
      <c r="A5" s="5"/>
      <c r="B5" s="14" t="s">
        <v>120</v>
      </c>
      <c r="C5" s="129">
        <v>2.8172200000000001E-2</v>
      </c>
      <c r="D5" s="129">
        <v>2.8172200000000001E-2</v>
      </c>
      <c r="E5" s="129">
        <v>9.5903199999999994E-2</v>
      </c>
      <c r="F5" s="129">
        <v>0.23723720000000001</v>
      </c>
      <c r="G5" s="129">
        <v>0.35772880000000001</v>
      </c>
      <c r="H5" s="149"/>
      <c r="I5" s="104"/>
    </row>
    <row r="6" spans="1:15" ht="15.75" customHeight="1" x14ac:dyDescent="0.25">
      <c r="B6" s="17"/>
      <c r="C6" s="33">
        <f>SUM(C2:C5)</f>
        <v>1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29">
        <v>0.59700019999999998</v>
      </c>
      <c r="D8" s="129">
        <v>0.59700019999999998</v>
      </c>
      <c r="E8" s="129">
        <v>0.7432434</v>
      </c>
      <c r="F8" s="129">
        <v>0.75874560000000002</v>
      </c>
      <c r="G8" s="129">
        <v>0.79778210000000005</v>
      </c>
      <c r="H8" s="149" t="s">
        <v>216</v>
      </c>
    </row>
    <row r="9" spans="1:15" ht="15.75" customHeight="1" x14ac:dyDescent="0.25">
      <c r="B9" s="9" t="s">
        <v>122</v>
      </c>
      <c r="C9" s="129">
        <v>0.26821270000000003</v>
      </c>
      <c r="D9" s="129">
        <v>0.26821270000000003</v>
      </c>
      <c r="E9" s="129">
        <v>0.14787810000000001</v>
      </c>
      <c r="F9" s="129">
        <v>0.15206430000000001</v>
      </c>
      <c r="G9" s="129">
        <v>9.7873399999999999E-2</v>
      </c>
      <c r="H9" s="149"/>
    </row>
    <row r="10" spans="1:15" ht="15.75" customHeight="1" x14ac:dyDescent="0.25">
      <c r="B10" s="9" t="s">
        <v>123</v>
      </c>
      <c r="C10" s="129">
        <v>3.8370599999999998E-2</v>
      </c>
      <c r="D10" s="129">
        <v>3.8370599999999998E-2</v>
      </c>
      <c r="E10" s="129">
        <v>4.9320099999999999E-2</v>
      </c>
      <c r="F10" s="129">
        <v>7.6216699999999998E-2</v>
      </c>
      <c r="G10" s="129">
        <v>7.5945499999999999E-2</v>
      </c>
      <c r="H10" s="149"/>
    </row>
    <row r="11" spans="1:15" ht="15.75" customHeight="1" x14ac:dyDescent="0.25">
      <c r="B11" s="9" t="s">
        <v>124</v>
      </c>
      <c r="C11" s="129">
        <v>9.6416600000000005E-2</v>
      </c>
      <c r="D11" s="129">
        <v>9.6416600000000005E-2</v>
      </c>
      <c r="E11" s="129">
        <v>5.9558399999999997E-2</v>
      </c>
      <c r="F11" s="129">
        <v>1.29734E-2</v>
      </c>
      <c r="G11" s="129">
        <v>2.8399000000000001E-2</v>
      </c>
      <c r="H11" s="149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25">
      <c r="B14" s="19" t="s">
        <v>132</v>
      </c>
      <c r="C14" s="137"/>
      <c r="D14" s="137"/>
      <c r="E14" s="129">
        <v>0.89329999999999998</v>
      </c>
      <c r="F14" s="129">
        <v>0.81189999999999996</v>
      </c>
      <c r="G14" s="129">
        <v>0.74809999999999999</v>
      </c>
      <c r="H14" s="138">
        <v>0.82669999999999999</v>
      </c>
      <c r="I14" s="138">
        <v>0.438</v>
      </c>
      <c r="J14" s="138">
        <v>0.3962</v>
      </c>
      <c r="K14" s="138">
        <v>0.60429999999999995</v>
      </c>
      <c r="L14" s="138">
        <v>0.52129999999999999</v>
      </c>
      <c r="M14" s="138">
        <v>0.55479999999999996</v>
      </c>
      <c r="N14" s="138">
        <v>0.60309999999999997</v>
      </c>
      <c r="O14" s="138">
        <v>0.50800000000000001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0.38876415999999997</v>
      </c>
      <c r="F15" s="37">
        <f t="shared" si="0"/>
        <v>0.35333887999999997</v>
      </c>
      <c r="G15" s="37">
        <f t="shared" si="0"/>
        <v>0.32557311999999999</v>
      </c>
      <c r="H15" s="37">
        <f t="shared" si="0"/>
        <v>0.35977983999999996</v>
      </c>
      <c r="I15" s="37">
        <f t="shared" si="0"/>
        <v>0.1906176</v>
      </c>
      <c r="J15" s="37">
        <f t="shared" si="0"/>
        <v>0.17242623999999998</v>
      </c>
      <c r="K15" s="37">
        <f t="shared" si="0"/>
        <v>0.26299135999999995</v>
      </c>
      <c r="L15" s="37">
        <f t="shared" si="0"/>
        <v>0.22686975999999998</v>
      </c>
      <c r="M15" s="37">
        <f t="shared" si="0"/>
        <v>0.24144895999999996</v>
      </c>
      <c r="N15" s="37">
        <f t="shared" si="0"/>
        <v>0.26246911999999994</v>
      </c>
      <c r="O15" s="37">
        <f t="shared" si="0"/>
        <v>0.22108159999999999</v>
      </c>
    </row>
    <row r="16" spans="1:15" ht="19" customHeight="1" x14ac:dyDescent="0.3">
      <c r="B16" s="94" t="s">
        <v>211</v>
      </c>
      <c r="C16" s="151" t="s">
        <v>216</v>
      </c>
      <c r="D16" s="152"/>
      <c r="E16" s="152"/>
      <c r="F16" s="152"/>
      <c r="G16" s="152"/>
      <c r="H16" s="153" t="s">
        <v>216</v>
      </c>
      <c r="I16" s="154"/>
      <c r="J16" s="154"/>
      <c r="K16" s="154"/>
      <c r="L16" s="154"/>
      <c r="M16" s="154"/>
      <c r="N16" s="154"/>
      <c r="O16" s="154"/>
    </row>
    <row r="17" spans="3:15" ht="49.75" customHeight="1" x14ac:dyDescent="0.25">
      <c r="C17" s="10"/>
      <c r="D17" s="10"/>
      <c r="E17" s="10"/>
      <c r="F17" s="10"/>
      <c r="G17" s="10"/>
      <c r="H17" s="155"/>
      <c r="I17" s="155"/>
      <c r="J17" s="155"/>
      <c r="K17" s="155"/>
      <c r="L17" s="155"/>
      <c r="M17" s="155"/>
      <c r="N17" s="155"/>
      <c r="O17" s="155"/>
    </row>
    <row r="36" spans="14:14" ht="15.75" customHeight="1" x14ac:dyDescent="0.25">
      <c r="N36">
        <v>30</v>
      </c>
    </row>
  </sheetData>
  <mergeCells count="5"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5"/>
  <sheetViews>
    <sheetView zoomScale="89" zoomScaleNormal="60" workbookViewId="0">
      <selection activeCell="B15" sqref="B15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8" x14ac:dyDescent="0.25">
      <c r="A2" s="3" t="s">
        <v>24</v>
      </c>
      <c r="B2" s="50" t="s">
        <v>166</v>
      </c>
      <c r="C2" s="129">
        <v>0.78187280000000003</v>
      </c>
      <c r="D2" s="129">
        <v>0.33437339999999999</v>
      </c>
      <c r="E2" s="129"/>
      <c r="F2" s="129"/>
      <c r="G2" s="129"/>
      <c r="H2" s="149" t="s">
        <v>207</v>
      </c>
    </row>
    <row r="3" spans="1:8" x14ac:dyDescent="0.25">
      <c r="B3" s="50" t="s">
        <v>167</v>
      </c>
      <c r="C3" s="139">
        <v>0.21812719999999999</v>
      </c>
      <c r="D3" s="139">
        <v>0.33815079999999997</v>
      </c>
      <c r="E3" s="139"/>
      <c r="F3" s="139"/>
      <c r="G3" s="139"/>
      <c r="H3" s="149"/>
    </row>
    <row r="4" spans="1:8" x14ac:dyDescent="0.25">
      <c r="B4" s="50" t="s">
        <v>168</v>
      </c>
      <c r="C4" s="139">
        <v>0</v>
      </c>
      <c r="D4" s="139">
        <v>0.32747579999999998</v>
      </c>
      <c r="E4" s="132">
        <v>0.99347719999999995</v>
      </c>
      <c r="F4" s="132">
        <v>0.93050980000000005</v>
      </c>
      <c r="G4" s="132">
        <v>0.12664220000000001</v>
      </c>
      <c r="H4" s="149"/>
    </row>
    <row r="5" spans="1:8" x14ac:dyDescent="0.25">
      <c r="B5" s="50" t="s">
        <v>169</v>
      </c>
      <c r="C5" s="37">
        <f>1-SUM(C2:C4)</f>
        <v>0</v>
      </c>
      <c r="D5" s="37">
        <f t="shared" ref="D5:G5" si="0">1-SUM(D2:D4)</f>
        <v>0</v>
      </c>
      <c r="E5" s="37">
        <f t="shared" si="0"/>
        <v>6.5228000000000508E-3</v>
      </c>
      <c r="F5" s="37">
        <f t="shared" si="0"/>
        <v>6.9490199999999946E-2</v>
      </c>
      <c r="G5" s="37">
        <f t="shared" si="0"/>
        <v>0.87335779999999996</v>
      </c>
      <c r="H5" s="149"/>
    </row>
  </sheetData>
  <mergeCells count="1"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H39"/>
  <sheetViews>
    <sheetView zoomScale="107" zoomScaleNormal="60" workbookViewId="0">
      <selection activeCell="B1" sqref="B1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15.81640625" style="42" customWidth="1"/>
    <col min="8" max="16384" width="14.36328125" style="42"/>
  </cols>
  <sheetData>
    <row r="1" spans="1:8" ht="56.65" customHeight="1" x14ac:dyDescent="0.35">
      <c r="A1" s="62" t="s">
        <v>69</v>
      </c>
      <c r="B1" s="141" t="s">
        <v>258</v>
      </c>
      <c r="C1" s="61" t="s">
        <v>201</v>
      </c>
      <c r="D1" s="60" t="s">
        <v>202</v>
      </c>
      <c r="E1" s="88" t="s">
        <v>208</v>
      </c>
      <c r="F1" s="114" t="s">
        <v>248</v>
      </c>
      <c r="G1" s="91" t="s">
        <v>209</v>
      </c>
    </row>
    <row r="2" spans="1:8" ht="15.75" customHeight="1" x14ac:dyDescent="0.25">
      <c r="A2" s="57" t="s">
        <v>29</v>
      </c>
      <c r="B2" s="140"/>
      <c r="C2" s="58">
        <v>0.95</v>
      </c>
      <c r="D2" s="59">
        <v>25</v>
      </c>
      <c r="E2" s="89"/>
      <c r="F2" s="90"/>
      <c r="G2" s="89" t="s">
        <v>212</v>
      </c>
    </row>
    <row r="3" spans="1:8" ht="15.75" customHeight="1" x14ac:dyDescent="0.25">
      <c r="A3" s="57" t="s">
        <v>86</v>
      </c>
      <c r="B3" s="140"/>
      <c r="C3" s="58">
        <v>0.95</v>
      </c>
      <c r="D3" s="59">
        <v>1</v>
      </c>
      <c r="E3" s="90"/>
      <c r="F3" s="90"/>
      <c r="G3" s="89" t="s">
        <v>210</v>
      </c>
    </row>
    <row r="4" spans="1:8" ht="15.75" customHeight="1" x14ac:dyDescent="0.25">
      <c r="A4" s="57" t="s">
        <v>61</v>
      </c>
      <c r="B4" s="140"/>
      <c r="C4" s="58">
        <v>0.95</v>
      </c>
      <c r="D4" s="59">
        <f>180</f>
        <v>180</v>
      </c>
      <c r="E4" s="90"/>
      <c r="F4" s="90"/>
      <c r="G4" s="89" t="s">
        <v>210</v>
      </c>
    </row>
    <row r="5" spans="1:8" ht="15.75" customHeight="1" x14ac:dyDescent="0.3">
      <c r="A5" s="92" t="s">
        <v>198</v>
      </c>
      <c r="B5" s="129">
        <v>6.4000000000000001E-2</v>
      </c>
      <c r="C5" s="58">
        <v>0.95</v>
      </c>
      <c r="D5" s="116">
        <f>SUM('Programs family planning'!E2:E10)</f>
        <v>0.82100000000000006</v>
      </c>
      <c r="E5" s="89" t="s">
        <v>216</v>
      </c>
      <c r="F5" s="115" t="s">
        <v>230</v>
      </c>
      <c r="G5" s="89"/>
    </row>
    <row r="6" spans="1:8" ht="15.75" customHeight="1" x14ac:dyDescent="0.3">
      <c r="A6" s="92"/>
      <c r="B6" s="129">
        <v>1.6E-2</v>
      </c>
      <c r="C6" s="58">
        <v>0.95</v>
      </c>
      <c r="D6" s="116">
        <v>8.2000000000000003E-2</v>
      </c>
      <c r="E6" s="89" t="s">
        <v>216</v>
      </c>
      <c r="F6" s="115" t="s">
        <v>231</v>
      </c>
      <c r="G6" s="89"/>
    </row>
    <row r="7" spans="1:8" ht="15.75" customHeight="1" x14ac:dyDescent="0.25">
      <c r="A7" s="57" t="s">
        <v>63</v>
      </c>
      <c r="B7" s="130"/>
      <c r="C7" s="58">
        <v>0.95</v>
      </c>
      <c r="D7" s="59">
        <v>0.82</v>
      </c>
      <c r="E7" s="89"/>
      <c r="F7" s="90"/>
      <c r="G7" s="89"/>
    </row>
    <row r="8" spans="1:8" ht="15.75" customHeight="1" x14ac:dyDescent="0.25">
      <c r="A8" s="70" t="s">
        <v>187</v>
      </c>
      <c r="B8" s="130"/>
      <c r="C8" s="58">
        <v>0.95</v>
      </c>
      <c r="D8" s="59">
        <v>0.73</v>
      </c>
      <c r="E8" s="89"/>
      <c r="F8" s="90"/>
      <c r="G8" s="89"/>
    </row>
    <row r="9" spans="1:8" ht="15.75" customHeight="1" x14ac:dyDescent="0.25">
      <c r="A9" s="70" t="s">
        <v>188</v>
      </c>
      <c r="B9" s="130"/>
      <c r="C9" s="58">
        <v>0.95</v>
      </c>
      <c r="D9" s="59">
        <v>1.78</v>
      </c>
      <c r="E9" s="89"/>
      <c r="F9" s="90"/>
      <c r="G9" s="89"/>
    </row>
    <row r="10" spans="1:8" ht="15.75" customHeight="1" x14ac:dyDescent="0.25">
      <c r="A10" s="70" t="s">
        <v>189</v>
      </c>
      <c r="B10" s="130"/>
      <c r="C10" s="58">
        <v>0.95</v>
      </c>
      <c r="D10" s="59">
        <v>0.24</v>
      </c>
      <c r="E10" s="89"/>
      <c r="F10" s="90"/>
      <c r="G10" s="89"/>
    </row>
    <row r="11" spans="1:8" ht="15.75" customHeight="1" x14ac:dyDescent="0.25">
      <c r="A11" s="70" t="s">
        <v>190</v>
      </c>
      <c r="B11" s="130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8" ht="15.75" customHeight="1" x14ac:dyDescent="0.25">
      <c r="A12" s="14" t="s">
        <v>186</v>
      </c>
      <c r="B12" s="130"/>
      <c r="C12" s="58">
        <v>0.95</v>
      </c>
      <c r="D12" s="59">
        <v>0.73</v>
      </c>
      <c r="E12" s="89"/>
      <c r="F12" s="90"/>
      <c r="G12" s="89"/>
    </row>
    <row r="13" spans="1:8" ht="15.75" customHeight="1" x14ac:dyDescent="0.35">
      <c r="A13" s="93" t="s">
        <v>191</v>
      </c>
      <c r="B13" s="129">
        <v>0.43200000000000005</v>
      </c>
      <c r="C13" s="58">
        <v>0.95</v>
      </c>
      <c r="D13" s="59">
        <v>2</v>
      </c>
      <c r="E13" s="89" t="s">
        <v>216</v>
      </c>
      <c r="F13" s="90" t="s">
        <v>246</v>
      </c>
      <c r="G13" s="89"/>
      <c r="H13" s="99"/>
    </row>
    <row r="14" spans="1:8" ht="15.75" customHeight="1" x14ac:dyDescent="0.3">
      <c r="A14" s="92" t="s">
        <v>57</v>
      </c>
      <c r="B14" s="129">
        <v>0.28800000000000003</v>
      </c>
      <c r="C14" s="58">
        <v>0.95</v>
      </c>
      <c r="D14" s="59">
        <v>2.1800000000000002</v>
      </c>
      <c r="E14" s="89" t="s">
        <v>216</v>
      </c>
      <c r="F14" s="115" t="s">
        <v>232</v>
      </c>
      <c r="G14" s="89" t="s">
        <v>212</v>
      </c>
    </row>
    <row r="15" spans="1:8" ht="15.75" customHeight="1" x14ac:dyDescent="0.35">
      <c r="A15" s="92"/>
      <c r="B15" s="129">
        <v>0.153</v>
      </c>
      <c r="C15" s="58">
        <v>0.95</v>
      </c>
      <c r="D15" s="59">
        <v>2.1800000000000002</v>
      </c>
      <c r="E15" s="89" t="s">
        <v>216</v>
      </c>
      <c r="F15" s="115" t="s">
        <v>233</v>
      </c>
      <c r="G15" s="89"/>
      <c r="H15" s="99"/>
    </row>
    <row r="16" spans="1:8" ht="15.75" customHeight="1" x14ac:dyDescent="0.35">
      <c r="A16" s="57" t="s">
        <v>47</v>
      </c>
      <c r="B16" s="130"/>
      <c r="C16" s="58">
        <v>0.95</v>
      </c>
      <c r="D16" s="59">
        <v>0.05</v>
      </c>
      <c r="E16" s="89"/>
      <c r="F16" s="90"/>
      <c r="G16" s="89"/>
      <c r="H16" s="99"/>
    </row>
    <row r="17" spans="1:8" ht="16" customHeight="1" x14ac:dyDescent="0.25">
      <c r="A17" s="57" t="s">
        <v>172</v>
      </c>
      <c r="B17" s="130"/>
      <c r="C17" s="58">
        <v>0.95</v>
      </c>
      <c r="D17" s="117">
        <v>5</v>
      </c>
      <c r="E17" s="89"/>
      <c r="F17" s="90"/>
      <c r="G17" s="89"/>
    </row>
    <row r="18" spans="1:8" ht="15.75" customHeight="1" x14ac:dyDescent="0.25">
      <c r="A18" s="57" t="s">
        <v>199</v>
      </c>
      <c r="B18" s="130"/>
      <c r="C18" s="58">
        <v>0.95</v>
      </c>
      <c r="D18" s="117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8" ht="15.75" customHeight="1" x14ac:dyDescent="0.25">
      <c r="A19" s="57" t="s">
        <v>200</v>
      </c>
      <c r="B19" s="130"/>
      <c r="C19" s="58">
        <v>0.95</v>
      </c>
      <c r="D19" s="117">
        <f>SUMPRODUCT(('IYCF cost'!$C$2:$E$6)*('IYCF packages'!$C$16:$E$20&lt;&gt;""))</f>
        <v>0.25</v>
      </c>
      <c r="E19" s="89"/>
      <c r="F19" s="90"/>
      <c r="G19" s="89"/>
    </row>
    <row r="20" spans="1:8" ht="15.75" customHeight="1" x14ac:dyDescent="0.25">
      <c r="A20" s="57" t="s">
        <v>196</v>
      </c>
      <c r="B20" s="130"/>
      <c r="C20" s="58">
        <v>0.95</v>
      </c>
      <c r="D20" s="59">
        <v>8.84</v>
      </c>
      <c r="E20" s="89"/>
      <c r="F20" s="90"/>
      <c r="G20" s="89"/>
    </row>
    <row r="21" spans="1:8" ht="15.75" customHeight="1" x14ac:dyDescent="0.25">
      <c r="A21" s="57" t="s">
        <v>137</v>
      </c>
      <c r="B21" s="130"/>
      <c r="C21" s="58">
        <v>0.95</v>
      </c>
      <c r="D21" s="59">
        <v>50</v>
      </c>
      <c r="E21" s="90"/>
      <c r="F21" s="90"/>
      <c r="G21" s="89"/>
    </row>
    <row r="22" spans="1:8" ht="15.75" customHeight="1" x14ac:dyDescent="0.25">
      <c r="A22" s="57" t="s">
        <v>34</v>
      </c>
      <c r="B22" s="130"/>
      <c r="C22" s="58">
        <v>0.95</v>
      </c>
      <c r="D22" s="59">
        <v>2.61</v>
      </c>
      <c r="E22" s="90"/>
      <c r="F22" s="90"/>
      <c r="G22" s="89"/>
    </row>
    <row r="23" spans="1:8" ht="15.75" customHeight="1" x14ac:dyDescent="0.25">
      <c r="A23" s="57" t="s">
        <v>88</v>
      </c>
      <c r="B23" s="130"/>
      <c r="C23" s="58">
        <v>0.95</v>
      </c>
      <c r="D23" s="59">
        <v>1</v>
      </c>
      <c r="E23" s="90"/>
      <c r="F23" s="90"/>
      <c r="G23" s="89" t="s">
        <v>210</v>
      </c>
    </row>
    <row r="24" spans="1:8" ht="15.75" customHeight="1" x14ac:dyDescent="0.25">
      <c r="A24" s="57" t="s">
        <v>87</v>
      </c>
      <c r="B24" s="130"/>
      <c r="C24" s="58">
        <v>0.95</v>
      </c>
      <c r="D24" s="59">
        <v>1</v>
      </c>
      <c r="E24" s="90"/>
      <c r="F24" s="90"/>
      <c r="G24" s="89" t="s">
        <v>210</v>
      </c>
    </row>
    <row r="25" spans="1:8" ht="15.75" customHeight="1" x14ac:dyDescent="0.25">
      <c r="A25" s="57" t="s">
        <v>138</v>
      </c>
      <c r="B25" s="130"/>
      <c r="C25" s="58">
        <v>0.95</v>
      </c>
      <c r="D25" s="59">
        <v>1</v>
      </c>
      <c r="E25" s="90"/>
      <c r="F25" s="90"/>
      <c r="G25" s="89" t="s">
        <v>210</v>
      </c>
    </row>
    <row r="26" spans="1:8" ht="15.75" customHeight="1" x14ac:dyDescent="0.3">
      <c r="A26" s="92" t="s">
        <v>59</v>
      </c>
      <c r="B26" s="130"/>
      <c r="C26" s="58">
        <v>0.95</v>
      </c>
      <c r="D26" s="59">
        <v>3.54</v>
      </c>
      <c r="E26" s="89"/>
      <c r="F26" s="90" t="s">
        <v>247</v>
      </c>
      <c r="G26" s="89"/>
    </row>
    <row r="27" spans="1:8" ht="15.75" customHeight="1" x14ac:dyDescent="0.3">
      <c r="A27" s="92" t="s">
        <v>84</v>
      </c>
      <c r="B27" s="129">
        <v>0.63200000000000001</v>
      </c>
      <c r="C27" s="58">
        <v>0.95</v>
      </c>
      <c r="D27" s="59">
        <v>1</v>
      </c>
      <c r="E27" s="89" t="s">
        <v>216</v>
      </c>
      <c r="F27" s="90" t="s">
        <v>234</v>
      </c>
      <c r="G27" s="89"/>
    </row>
    <row r="28" spans="1:8" ht="15.75" customHeight="1" x14ac:dyDescent="0.25">
      <c r="A28" s="57" t="s">
        <v>58</v>
      </c>
      <c r="B28" s="130"/>
      <c r="C28" s="58">
        <v>0.95</v>
      </c>
      <c r="D28" s="59">
        <v>40.25</v>
      </c>
      <c r="E28" s="89"/>
      <c r="F28" s="90"/>
      <c r="G28" s="89"/>
    </row>
    <row r="29" spans="1:8" ht="15.75" customHeight="1" x14ac:dyDescent="0.25">
      <c r="A29" s="57" t="s">
        <v>67</v>
      </c>
      <c r="B29" s="130"/>
      <c r="C29" s="58">
        <v>0.95</v>
      </c>
      <c r="D29" s="118">
        <f>162*AVERAGE('Incidence of conditions'!B4:F4) + 0*AVERAGE('Incidence of conditions'!B3:F3)*IF(ISBLANK(manage_mam), 0, 1)</f>
        <v>24.746679360000005</v>
      </c>
      <c r="E29" s="89"/>
      <c r="F29" s="90"/>
      <c r="G29" s="89"/>
    </row>
    <row r="30" spans="1:8" ht="15.75" customHeight="1" x14ac:dyDescent="0.35">
      <c r="A30" s="92" t="s">
        <v>28</v>
      </c>
      <c r="B30" s="129">
        <v>0.32500000000000001</v>
      </c>
      <c r="C30" s="58">
        <v>0.95</v>
      </c>
      <c r="D30" s="59">
        <v>0.55000000000000004</v>
      </c>
      <c r="E30" s="89" t="s">
        <v>216</v>
      </c>
      <c r="F30" s="115" t="s">
        <v>235</v>
      </c>
      <c r="G30" s="89"/>
      <c r="H30" s="99"/>
    </row>
    <row r="31" spans="1:8" ht="15.75" customHeight="1" x14ac:dyDescent="0.35">
      <c r="A31" s="92"/>
      <c r="B31" s="129">
        <v>7.2000000000000008E-2</v>
      </c>
      <c r="C31" s="58">
        <v>0.95</v>
      </c>
      <c r="D31" s="59">
        <v>0.55000000000000004</v>
      </c>
      <c r="E31" s="89" t="s">
        <v>216</v>
      </c>
      <c r="F31" s="115" t="s">
        <v>236</v>
      </c>
      <c r="G31" s="89"/>
      <c r="H31" s="99"/>
    </row>
    <row r="32" spans="1:8" ht="15.75" customHeight="1" x14ac:dyDescent="0.25">
      <c r="A32" s="57" t="s">
        <v>83</v>
      </c>
      <c r="B32" s="130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30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30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30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30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30">
        <v>0</v>
      </c>
      <c r="C37" s="58">
        <v>0.95</v>
      </c>
      <c r="D37" s="59">
        <v>0.92</v>
      </c>
      <c r="E37" s="89" t="s">
        <v>216</v>
      </c>
      <c r="F37" s="90"/>
      <c r="G37" s="89"/>
    </row>
    <row r="38" spans="1:7" ht="15.75" customHeight="1" x14ac:dyDescent="0.25">
      <c r="A38" s="57" t="s">
        <v>60</v>
      </c>
      <c r="B38" s="140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2018-11-06T17:28:20Z</dcterms:modified>
</cp:coreProperties>
</file>