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wb484577\Desktop\Provincial projections\"/>
    </mc:Choice>
  </mc:AlternateContent>
  <xr:revisionPtr revIDLastSave="0" documentId="10_ncr:100000_{0E895A84-8E78-4CA4-BC06-AEBFC60ED180}" xr6:coauthVersionLast="31" xr6:coauthVersionMax="31" xr10:uidLastSave="{00000000-0000-0000-0000-000000000000}"/>
  <bookViews>
    <workbookView xWindow="0" yWindow="0" windowWidth="23040" windowHeight="8610" tabRatio="93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r:id="rId13"/>
    <sheet name="Programs target population" sheetId="21" r:id="rId14"/>
    <sheet name="Programs family planning" sheetId="54" r:id="rId15"/>
  </sheets>
  <definedNames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inputs'!$C$7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inputs'!$C$8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79017"/>
</workbook>
</file>

<file path=xl/calcChain.xml><?xml version="1.0" encoding="utf-8"?>
<calcChain xmlns="http://schemas.openxmlformats.org/spreadsheetml/2006/main">
  <c r="D31" i="50" l="1"/>
  <c r="E31" i="50"/>
  <c r="F31" i="50"/>
  <c r="G31" i="50"/>
  <c r="H31" i="50"/>
  <c r="I31" i="50"/>
  <c r="J31" i="50"/>
  <c r="K31" i="50"/>
  <c r="L31" i="50"/>
  <c r="M31" i="50"/>
  <c r="N31" i="50"/>
  <c r="O31" i="50"/>
  <c r="P31" i="50"/>
  <c r="Q31" i="50"/>
  <c r="R31" i="50"/>
  <c r="S31" i="50"/>
  <c r="T31" i="50"/>
  <c r="U31" i="50"/>
  <c r="V31" i="50"/>
  <c r="W31" i="50"/>
  <c r="X31" i="50"/>
  <c r="Y31" i="50"/>
  <c r="Z31" i="50"/>
  <c r="AA31" i="50"/>
  <c r="AB31" i="50"/>
  <c r="AC31" i="50"/>
  <c r="D32" i="50"/>
  <c r="E32" i="50"/>
  <c r="F32" i="50"/>
  <c r="G32" i="50"/>
  <c r="H32" i="50"/>
  <c r="I32" i="50"/>
  <c r="J32" i="50"/>
  <c r="K32" i="50"/>
  <c r="L32" i="50"/>
  <c r="M32" i="50"/>
  <c r="N32" i="50"/>
  <c r="O32" i="50"/>
  <c r="P32" i="50"/>
  <c r="Q32" i="50"/>
  <c r="R32" i="50"/>
  <c r="S32" i="50"/>
  <c r="T32" i="50"/>
  <c r="U32" i="50"/>
  <c r="V32" i="50"/>
  <c r="W32" i="50"/>
  <c r="X32" i="50"/>
  <c r="Y32" i="50"/>
  <c r="Z32" i="50"/>
  <c r="AA32" i="50"/>
  <c r="AB32" i="50"/>
  <c r="AC32" i="50"/>
  <c r="D33" i="50"/>
  <c r="E33" i="50"/>
  <c r="F33" i="50"/>
  <c r="G33" i="50"/>
  <c r="H33" i="50"/>
  <c r="I33" i="50"/>
  <c r="J33" i="50"/>
  <c r="K33" i="50"/>
  <c r="L33" i="50"/>
  <c r="M33" i="50"/>
  <c r="N33" i="50"/>
  <c r="O33" i="50"/>
  <c r="P33" i="50"/>
  <c r="Q33" i="50"/>
  <c r="R33" i="50"/>
  <c r="S33" i="50"/>
  <c r="T33" i="50"/>
  <c r="U33" i="50"/>
  <c r="V33" i="50"/>
  <c r="W33" i="50"/>
  <c r="X33" i="50"/>
  <c r="Y33" i="50"/>
  <c r="Z33" i="50"/>
  <c r="AA33" i="50"/>
  <c r="AB33" i="50"/>
  <c r="AC33" i="50"/>
  <c r="C33" i="50"/>
  <c r="C32" i="50"/>
  <c r="C31" i="50"/>
  <c r="D6" i="57" l="1"/>
  <c r="C6" i="57"/>
  <c r="D5" i="57"/>
  <c r="C5" i="57"/>
  <c r="D4" i="57"/>
  <c r="C4" i="57"/>
  <c r="D3" i="57"/>
  <c r="C3" i="57"/>
  <c r="D2" i="57"/>
  <c r="C2" i="57"/>
  <c r="D4" i="56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D18" i="56" s="1"/>
  <c r="I2" i="2" l="1"/>
  <c r="A1" i="50" l="1"/>
  <c r="A1" i="5"/>
  <c r="A1" i="4"/>
  <c r="D19" i="56" l="1"/>
  <c r="C6" i="5"/>
  <c r="A34" i="2" l="1"/>
  <c r="A26" i="2"/>
  <c r="A18" i="2"/>
  <c r="A38" i="2"/>
  <c r="A30" i="2"/>
  <c r="A22" i="2"/>
  <c r="A37" i="2"/>
  <c r="A33" i="2"/>
  <c r="A29" i="2"/>
  <c r="A25" i="2"/>
  <c r="A21" i="2"/>
  <c r="A40" i="2"/>
  <c r="A36" i="2"/>
  <c r="A32" i="2"/>
  <c r="A28" i="2"/>
  <c r="A24" i="2"/>
  <c r="A20" i="2"/>
  <c r="A39" i="2"/>
  <c r="A35" i="2"/>
  <c r="A31" i="2"/>
  <c r="A27" i="2"/>
  <c r="A23" i="2"/>
  <c r="A19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J33" i="2" l="1"/>
  <c r="J31" i="2"/>
  <c r="J25" i="2"/>
  <c r="J23" i="2"/>
  <c r="J32" i="2"/>
  <c r="J24" i="2"/>
  <c r="J39" i="2"/>
  <c r="J37" i="2"/>
  <c r="J35" i="2"/>
  <c r="J17" i="2"/>
  <c r="J40" i="2"/>
  <c r="J20" i="2"/>
  <c r="J29" i="2"/>
  <c r="J27" i="2"/>
  <c r="J16" i="2"/>
  <c r="J21" i="2"/>
  <c r="J19" i="2"/>
  <c r="J38" i="2"/>
  <c r="J22" i="2"/>
  <c r="J30" i="2"/>
  <c r="J36" i="2"/>
  <c r="J28" i="2"/>
  <c r="J34" i="2"/>
  <c r="J26" i="2"/>
  <c r="J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29" i="56" l="1"/>
  <c r="E2" i="54"/>
  <c r="E3" i="54"/>
  <c r="E4" i="54"/>
  <c r="E5" i="54"/>
  <c r="E6" i="54"/>
  <c r="E7" i="54"/>
  <c r="E8" i="54"/>
  <c r="E9" i="54"/>
  <c r="E10" i="54"/>
  <c r="D5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I3" i="2"/>
  <c r="I4" i="2"/>
  <c r="I5" i="2"/>
  <c r="I6" i="2"/>
  <c r="I7" i="2"/>
  <c r="I8" i="2"/>
  <c r="I9" i="2"/>
  <c r="I10" i="2"/>
  <c r="I11" i="2"/>
  <c r="I12" i="2"/>
  <c r="I13" i="2"/>
  <c r="I14" i="2"/>
  <c r="I15" i="2"/>
  <c r="H3" i="2" l="1"/>
  <c r="J3" i="2" s="1"/>
  <c r="H4" i="2"/>
  <c r="J4" i="2" s="1"/>
  <c r="H5" i="2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H14" i="2"/>
  <c r="J14" i="2" s="1"/>
  <c r="H15" i="2"/>
  <c r="H2" i="2"/>
  <c r="J5" i="2"/>
  <c r="J13" i="2" l="1"/>
  <c r="J15" i="2"/>
  <c r="J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davide de beni</author>
  </authors>
  <commentList>
    <comment ref="A1" authorId="0" shapeId="0" xr:uid="{A8BB5F1D-230B-4232-AF42-5D96210F9657}">
      <text>
        <r>
          <rPr>
            <b/>
            <sz val="9"/>
            <color indexed="81"/>
            <rFont val="Tahoma"/>
            <family val="2"/>
          </rPr>
          <t>davide de beni:</t>
        </r>
        <r>
          <rPr>
            <sz val="9"/>
            <color indexed="81"/>
            <rFont val="Tahoma"/>
            <family val="2"/>
          </rPr>
          <t xml:space="preserve">
Source: LiST (v5.71) - WPP 2017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Avril Dawn Kaplan</author>
  </authors>
  <commentList>
    <comment ref="G4" authorId="0" shapeId="0" xr:uid="{31640885-5DA5-406A-92D3-1268DB2481ED}">
      <text>
        <r>
          <rPr>
            <b/>
            <sz val="9"/>
            <color indexed="81"/>
            <rFont val="Tahoma"/>
            <charset val="1"/>
          </rPr>
          <t>Avril Dawn Kaplan:</t>
        </r>
        <r>
          <rPr>
            <sz val="9"/>
            <color indexed="81"/>
            <rFont val="Tahoma"/>
            <charset val="1"/>
          </rPr>
          <t xml:space="preserve">
Prior LIST exercise used same estimate for 12-23 months and 24-59 months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<sst xmlns="http://schemas.openxmlformats.org/spreadsheetml/2006/main" count="508" uniqueCount="290">
  <si>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</si>
  <si>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</si>
  <si>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</si>
  <si>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</si>
  <si>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</si>
  <si>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</si>
  <si>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</si>
  <si>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</si>
  <si>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</si>
  <si>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</si>
  <si>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</si>
  <si>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</si>
  <si>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</si>
  <si>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</si>
  <si>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</si>
  <si>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</si>
  <si>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</si>
  <si>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</si>
  <si>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</si>
  <si>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</si>
  <si>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</si>
  <si>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</si>
  <si>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</si>
  <si>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</si>
  <si>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</si>
  <si>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</si>
  <si>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</si>
  <si>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</si>
  <si>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</si>
  <si>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</si>
  <si>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</si>
  <si>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</si>
  <si>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</si>
  <si>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</si>
  <si>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</si>
  <si>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</si>
  <si>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</si>
  <si>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</si>
  <si>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</si>
  <si>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</si>
  <si>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</si>
  <si>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</si>
  <si>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</si>
  <si>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</si>
  <si>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</si>
  <si>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</si>
  <si>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</si>
  <si>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</si>
  <si>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</si>
  <si>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</si>
  <si>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</si>
  <si>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</si>
  <si>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</si>
  <si>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</si>
  <si>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</si>
  <si>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</si>
  <si>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</si>
  <si>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</si>
  <si>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</si>
  <si>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</si>
  <si>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</si>
  <si>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</si>
  <si>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</si>
  <si>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</si>
  <si>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</si>
  <si>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</si>
  <si>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</si>
  <si>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</si>
  <si>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</si>
  <si>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</si>
  <si>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</si>
  <si>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</si>
  <si>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</si>
  <si>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</si>
  <si>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</si>
  <si>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</si>
  <si>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</si>
  <si>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</si>
  <si>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</si>
  <si>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</si>
  <si>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</si>
  <si>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</si>
  <si>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</si>
  <si>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</si>
  <si>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</si>
  <si>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</si>
  <si>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</si>
  <si>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</si>
  <si>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</si>
  <si>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</si>
  <si>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</si>
  <si>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</si>
  <si>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</si>
  <si>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</si>
  <si>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</si>
  <si>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</si>
  <si>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</si>
  <si>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</si>
  <si>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</si>
  <si>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</si>
  <si>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</si>
  <si>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</si>
  <si>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</si>
  <si>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</si>
  <si>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</si>
  <si>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</si>
  <si>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</si>
  <si>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</si>
  <si>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</si>
  <si>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</si>
  <si>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</si>
  <si>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</si>
  <si>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</si>
  <si>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</si>
  <si>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</si>
  <si>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</si>
  <si>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</si>
  <si>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</si>
  <si>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</si>
  <si>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</si>
  <si>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</si>
  <si>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</si>
  <si>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</si>
  <si>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</si>
  <si>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</si>
  <si>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</si>
  <si>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</si>
  <si>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</si>
  <si>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</si>
  <si>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</si>
  <si>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</si>
  <si>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</si>
  <si>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</si>
  <si>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</si>
  <si>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</si>
  <si>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</si>
  <si>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</si>
  <si>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</si>
  <si>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</si>
  <si>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</si>
  <si>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</si>
  <si>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</si>
  <si>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</si>
  <si>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</si>
  <si>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</si>
  <si>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</si>
  <si>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</si>
  <si>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</si>
  <si>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</si>
  <si>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</si>
  <si>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</si>
  <si>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</si>
  <si>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</si>
  <si>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</si>
  <si>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</si>
  <si>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</si>
  <si>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</si>
  <si>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</si>
  <si>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</si>
  <si>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</si>
  <si>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</si>
  <si>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</si>
  <si>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</si>
  <si>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</si>
  <si>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</si>
  <si>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</si>
  <si>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Exclusive</t>
  </si>
  <si>
    <t>Predominant</t>
  </si>
  <si>
    <t>Partial</t>
  </si>
  <si>
    <t>None</t>
  </si>
  <si>
    <t>Maternal (deaths per 1,000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</si>
  <si>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</si>
  <si>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</si>
  <si>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</si>
  <si>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</si>
  <si>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</si>
  <si>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</si>
  <si>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</si>
  <si>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</si>
  <si>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</si>
  <si>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</si>
  <si>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</si>
  <si>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</si>
  <si>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</si>
  <si>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</si>
  <si>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</si>
  <si>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</si>
  <si>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</si>
  <si>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</si>
  <si>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</si>
  <si>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</si>
  <si>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</si>
  <si>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</si>
  <si>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</si>
  <si>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</si>
  <si>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</si>
  <si>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</si>
  <si>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</si>
  <si>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</si>
  <si>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</si>
  <si>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</si>
  <si>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</si>
  <si>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Unit cost (US$)</t>
  </si>
  <si>
    <t>WFP Comprehensive  Food Security and Vulnerability Analysis 2011-12 (Table 17 )</t>
  </si>
  <si>
    <t>Source National</t>
  </si>
  <si>
    <t>LiST (v5.71)</t>
  </si>
  <si>
    <t xml:space="preserve">   LiST (v5.71):  WHO estimates (2000-2015); http://www.who.int/healthinfo/global_burden_disease/estimates_child_cod_2015/en/</t>
  </si>
  <si>
    <t>LiST (v5.71) , DHS 2013</t>
  </si>
  <si>
    <t>Source: baseline coverage</t>
  </si>
  <si>
    <t>Source: unit cost</t>
  </si>
  <si>
    <t>Default Optima tool</t>
  </si>
  <si>
    <t>Source National:</t>
  </si>
  <si>
    <t>An Investment Framework for Nutrition; Shekar et al. 2017</t>
  </si>
  <si>
    <t>National</t>
  </si>
  <si>
    <t>Kinshasa</t>
  </si>
  <si>
    <t>Kwango</t>
  </si>
  <si>
    <t>Kwilu</t>
  </si>
  <si>
    <t>Mai-Ndombe</t>
  </si>
  <si>
    <t>Kongo Central</t>
  </si>
  <si>
    <t>Équateur</t>
  </si>
  <si>
    <t>Mongala</t>
  </si>
  <si>
    <t>Nord-Ubangi</t>
  </si>
  <si>
    <t>Sud-Ubangi</t>
  </si>
  <si>
    <t>Tshuapa</t>
  </si>
  <si>
    <t>Kasaï</t>
  </si>
  <si>
    <t>Kasaï Central</t>
  </si>
  <si>
    <t>Kasaï Oriental</t>
  </si>
  <si>
    <t>Lomami</t>
  </si>
  <si>
    <t>Sankuru</t>
  </si>
  <si>
    <t>Haut-Katanga</t>
  </si>
  <si>
    <t>Haut-Lomami</t>
  </si>
  <si>
    <t>Lualaba</t>
  </si>
  <si>
    <t>Tanganyika</t>
  </si>
  <si>
    <t>Maniema</t>
  </si>
  <si>
    <t>Nord-Kivu</t>
  </si>
  <si>
    <t>Bas-Uele</t>
  </si>
  <si>
    <t>Haut-Uele</t>
  </si>
  <si>
    <t>Ituri</t>
  </si>
  <si>
    <t>Tshopo</t>
  </si>
  <si>
    <t>Sud-Kivu</t>
  </si>
  <si>
    <t>Source</t>
  </si>
  <si>
    <t>Notes</t>
  </si>
  <si>
    <t>DHS 2013-14</t>
  </si>
  <si>
    <t>Calculated for women who were pregnant at the time of the survey</t>
  </si>
  <si>
    <t>Assuming here that severe is diarrhea is defined as diarrhea with blood. Calculated as a percentage of all diarrhea cases in past 2 weeks that were severe (had blood)</t>
  </si>
  <si>
    <t>Diarrhoea episode during the 2 weeks before survey</t>
  </si>
  <si>
    <t>All diarrhoea</t>
  </si>
  <si>
    <t>Diarrhoea with blood</t>
  </si>
  <si>
    <t>All diarrhoea &lt;1 month</t>
  </si>
  <si>
    <t>All diarrhoea 1-5 months</t>
  </si>
  <si>
    <t>All diarrhoea 6-11 months</t>
  </si>
  <si>
    <t>All diarrhoea 12-23 months</t>
  </si>
  <si>
    <t>All diarrhoea 24-59 months</t>
  </si>
  <si>
    <t>Malaria prevalence 0-5 yrs - Blood smear</t>
  </si>
  <si>
    <t>Malaria prevalence 0-5 yrs - Rapid diagnostic test</t>
  </si>
  <si>
    <t>Breastfeeding Distribution</t>
  </si>
  <si>
    <t>Exclusive = only breastmilk; predominant = breastmilk and water; partial = breastmilk and other milk/liquids/complementary foods; none = no breastmilk</t>
  </si>
  <si>
    <t>Sample size for each strata is tiny - so some figures may be unreliable (particularily for &lt;1 month)</t>
  </si>
  <si>
    <t>Child recode</t>
  </si>
  <si>
    <t>DHS - all diarrhoea 0-59 months</t>
  </si>
  <si>
    <t>bfm</t>
  </si>
  <si>
    <t>Any method (% of married women age 15-49)</t>
  </si>
  <si>
    <t>Modern method (% of married women age 15-49)</t>
  </si>
  <si>
    <t>% of women aged 15-49 who had a live birth during 2 yrs preceding survey, and during most recent pregnancy, received SP / Fansidar during an antenatal visit</t>
  </si>
  <si>
    <t>% of women aged 15-49 who had a live birth during 2 yrs preceding survey, and during most recent pregnancy, took two or more doses and received at least one during a prenatal visit</t>
  </si>
  <si>
    <t>Among  children under 5 yrs who had diarrhoea episode during 2 weeks before survey</t>
  </si>
  <si>
    <t>Among youngest child age 6-59 months, % who were given vitamin A supplementation in past 6 months</t>
  </si>
  <si>
    <t xml:space="preserve">Among women who had live-birth in past five years, % who received a dose of Vitamin A post-partum for most recent born child </t>
  </si>
  <si>
    <t>Maternal mortality (per 100,000 live births)</t>
  </si>
  <si>
    <t>Four or more ANC visits</t>
  </si>
  <si>
    <t>Children age 12-23 months that received all recommended vaccines</t>
  </si>
  <si>
    <t>(http://datacompass.lshtm.ac.uk/115/</t>
  </si>
  <si>
    <t>Lee AC, Katz J, Blencowe H, et al. National and regional estimates of term and preterm babies born small for gestational age in 138 low-income and middle-income countries in 2010. Lancet Global Health 2013; 1(1): e26-36.</t>
  </si>
  <si>
    <t>Walker, Christa L. Fischer, et al. "Global burden of childhood pneumonia and diarrhoea." The Lancet 381.9875 (2013): 1405-1416.</t>
  </si>
  <si>
    <t>WHO estimates 1996-2012. Source: Stevens GA, Finucane MM, De-Regil LM, et al. Global, regional, and national trends in haemoglobin concentration and prevalence of total and severe anaemia in children and pregnant and non-pregnant women for 1995-2011: a systematic analysis of population-representative data. Lancet Global Health 2013; 1(1): e16-25. http://www.ncbi.nlm.nih.gov/pubmed/25103581. (Unpublished data from the authors.)</t>
  </si>
  <si>
    <t>No data in DHS - NATIONAL estimate</t>
  </si>
  <si>
    <t>NATIONAL estimate</t>
  </si>
  <si>
    <t>For women who had birth in past 5 yrs, percentage who took iron - NOTE - no infomration about whether given in hospital or community, and no information about folic acid</t>
  </si>
  <si>
    <t>Not available</t>
  </si>
  <si>
    <t>Notes: baseline coverage</t>
  </si>
  <si>
    <t xml:space="preserve">Ministere du plan - Institut National de la Statistique. 2017. Annuaire Statistique 2015. </t>
  </si>
  <si>
    <t>Percentage of population living below $1.90</t>
  </si>
  <si>
    <t>Mapped from old to new provinces</t>
  </si>
  <si>
    <t>2012-13 Household consumption survey</t>
  </si>
  <si>
    <t>Use National figure for proportion of population engaged in informal agriculture</t>
  </si>
  <si>
    <t>No data in DHS - used national estimate from List</t>
  </si>
  <si>
    <t>No data in DHS - used national estimate from datacompass</t>
  </si>
  <si>
    <t>No data in DHS - used national estimate from Lee et al</t>
  </si>
  <si>
    <t>No data in DHS - used national data form Walker</t>
  </si>
  <si>
    <t>Tshuapa Baseline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</si>
</sst>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3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i/>
      <sz val="10"/>
      <name val="Arial"/>
      <family val="2"/>
    </font>
    <font>
      <i/>
      <sz val="10"/>
      <color rgb="FF000000"/>
      <name val="Arial"/>
      <family val="2"/>
    </font>
    <font>
      <i/>
      <sz val="10"/>
      <color theme="1"/>
      <name val="Arial"/>
      <family val="2"/>
    </font>
    <font>
      <i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2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167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9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10" fontId="0" fillId="0" borderId="0" xfId="0" applyNumberFormat="1" applyFont="1" applyAlignment="1"/>
    <xf numFmtId="0" fontId="9" fillId="0" borderId="0" xfId="0" applyFont="1" applyAlignment="1">
      <alignment wrapText="1"/>
    </xf>
    <xf numFmtId="0" fontId="4" fillId="0" borderId="0" xfId="0" applyFont="1" applyFill="1" applyBorder="1" applyAlignment="1">
      <alignment horizontal="right"/>
    </xf>
    <xf numFmtId="0" fontId="11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0" xfId="0" applyFont="1" applyAlignment="1"/>
    <xf numFmtId="0" fontId="5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5" fillId="0" borderId="0" xfId="0" applyFont="1" applyAlignment="1">
      <alignment horizontal="right"/>
    </xf>
    <xf numFmtId="43" fontId="5" fillId="0" borderId="0" xfId="0" applyNumberFormat="1" applyFont="1" applyAlignment="1"/>
    <xf numFmtId="0" fontId="9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5" fillId="0" borderId="0" xfId="0" applyFont="1" applyAlignment="1">
      <alignment wrapText="1"/>
    </xf>
    <xf numFmtId="164" fontId="5" fillId="2" borderId="1" xfId="0" applyNumberFormat="1" applyFont="1" applyFill="1" applyBorder="1" applyAlignment="1"/>
    <xf numFmtId="164" fontId="10" fillId="3" borderId="1" xfId="9" applyNumberFormat="1" applyFont="1" applyFill="1" applyBorder="1" applyAlignment="1"/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 vertical="center"/>
    </xf>
    <xf numFmtId="1" fontId="10" fillId="3" borderId="1" xfId="9" applyNumberFormat="1" applyFont="1" applyFill="1" applyBorder="1" applyAlignment="1">
      <alignment horizontal="right"/>
    </xf>
    <xf numFmtId="0" fontId="4" fillId="0" borderId="0" xfId="0" applyFont="1" applyAlignment="1">
      <alignment horizontal="right" wrapText="1"/>
    </xf>
    <xf numFmtId="165" fontId="10" fillId="3" borderId="1" xfId="9" applyNumberFormat="1" applyFont="1" applyFill="1" applyBorder="1" applyAlignment="1">
      <alignment horizontal="right"/>
    </xf>
    <xf numFmtId="0" fontId="3" fillId="0" borderId="0" xfId="0" applyFont="1" applyAlignment="1">
      <alignment wrapText="1"/>
    </xf>
    <xf numFmtId="166" fontId="5" fillId="2" borderId="1" xfId="0" applyNumberFormat="1" applyFont="1" applyFill="1" applyBorder="1" applyAlignment="1">
      <alignment horizontal="right"/>
    </xf>
    <xf numFmtId="166" fontId="5" fillId="0" borderId="0" xfId="0" applyNumberFormat="1" applyFont="1" applyAlignment="1"/>
    <xf numFmtId="0" fontId="4" fillId="0" borderId="0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right" wrapText="1"/>
    </xf>
    <xf numFmtId="0" fontId="13" fillId="0" borderId="0" xfId="0" applyFont="1" applyAlignment="1">
      <alignment horizontal="right" vertical="center"/>
    </xf>
    <xf numFmtId="166" fontId="10" fillId="3" borderId="1" xfId="1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5" fillId="0" borderId="0" xfId="0" applyFont="1" applyFill="1" applyBorder="1" applyAlignment="1">
      <alignment horizontal="right"/>
    </xf>
    <xf numFmtId="2" fontId="1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" fillId="0" borderId="0" xfId="725" applyFont="1" applyAlignment="1"/>
    <xf numFmtId="0" fontId="5" fillId="0" borderId="0" xfId="725" applyFont="1" applyFill="1" applyAlignment="1"/>
    <xf numFmtId="0" fontId="5" fillId="0" borderId="0" xfId="725" applyNumberFormat="1" applyFont="1" applyFill="1" applyAlignment="1"/>
    <xf numFmtId="0" fontId="16" fillId="0" borderId="0" xfId="725" applyNumberFormat="1" applyFont="1" applyAlignment="1"/>
    <xf numFmtId="0" fontId="16" fillId="0" borderId="0" xfId="725" applyFont="1" applyAlignment="1"/>
    <xf numFmtId="0" fontId="9" fillId="0" borderId="0" xfId="725" applyFont="1" applyAlignment="1"/>
    <xf numFmtId="0" fontId="17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4" fillId="0" borderId="0" xfId="725" applyFont="1" applyAlignment="1"/>
    <xf numFmtId="0" fontId="5" fillId="0" borderId="2" xfId="725" applyFont="1" applyBorder="1" applyAlignment="1"/>
    <xf numFmtId="0" fontId="5" fillId="0" borderId="0" xfId="725" applyFont="1" applyBorder="1" applyAlignment="1"/>
    <xf numFmtId="166" fontId="5" fillId="2" borderId="1" xfId="725" applyNumberFormat="1" applyFont="1" applyFill="1" applyBorder="1" applyAlignment="1">
      <alignment horizontal="right" vertical="center"/>
    </xf>
    <xf numFmtId="0" fontId="9" fillId="0" borderId="6" xfId="725" applyFont="1" applyBorder="1" applyAlignment="1"/>
    <xf numFmtId="0" fontId="9" fillId="0" borderId="5" xfId="725" applyFont="1" applyBorder="1" applyAlignment="1"/>
    <xf numFmtId="0" fontId="9" fillId="0" borderId="1" xfId="725" applyFont="1" applyBorder="1" applyAlignment="1"/>
    <xf numFmtId="0" fontId="4" fillId="0" borderId="0" xfId="726" applyFont="1" applyFill="1" applyAlignment="1">
      <alignment horizontal="right"/>
    </xf>
    <xf numFmtId="9" fontId="4" fillId="2" borderId="1" xfId="725" applyNumberFormat="1" applyFont="1" applyFill="1" applyBorder="1" applyAlignment="1"/>
    <xf numFmtId="2" fontId="4" fillId="2" borderId="1" xfId="725" applyNumberFormat="1" applyFont="1" applyFill="1" applyBorder="1" applyAlignment="1"/>
    <xf numFmtId="0" fontId="3" fillId="0" borderId="0" xfId="725" applyFont="1" applyAlignment="1"/>
    <xf numFmtId="0" fontId="3" fillId="0" borderId="0" xfId="725" applyFont="1" applyAlignment="1">
      <alignment wrapText="1"/>
    </xf>
    <xf numFmtId="0" fontId="3" fillId="0" borderId="0" xfId="725" applyFont="1" applyFill="1" applyAlignment="1"/>
    <xf numFmtId="0" fontId="2" fillId="0" borderId="0" xfId="726"/>
    <xf numFmtId="2" fontId="2" fillId="0" borderId="0" xfId="726" applyNumberFormat="1"/>
    <xf numFmtId="0" fontId="2" fillId="0" borderId="0" xfId="726" applyFont="1" applyAlignment="1"/>
    <xf numFmtId="0" fontId="18" fillId="0" borderId="0" xfId="726" applyFont="1"/>
    <xf numFmtId="0" fontId="9" fillId="0" borderId="0" xfId="726" applyFont="1" applyAlignment="1"/>
    <xf numFmtId="0" fontId="9" fillId="0" borderId="0" xfId="726" applyFont="1" applyAlignment="1">
      <alignment wrapText="1"/>
    </xf>
    <xf numFmtId="0" fontId="9" fillId="0" borderId="0" xfId="0" applyFont="1" applyFill="1" applyAlignment="1"/>
    <xf numFmtId="0" fontId="5" fillId="0" borderId="0" xfId="725" applyFont="1" applyFill="1" applyAlignment="1">
      <alignment horizontal="right"/>
    </xf>
    <xf numFmtId="0" fontId="22" fillId="0" borderId="0" xfId="0" applyFont="1" applyFill="1" applyAlignment="1"/>
    <xf numFmtId="0" fontId="9" fillId="0" borderId="2" xfId="725" applyFont="1" applyBorder="1" applyAlignment="1"/>
    <xf numFmtId="0" fontId="5" fillId="2" borderId="1" xfId="10" applyNumberFormat="1" applyFont="1" applyFill="1" applyBorder="1" applyAlignment="1">
      <alignment horizontal="right"/>
    </xf>
    <xf numFmtId="0" fontId="5" fillId="2" borderId="1" xfId="10" applyNumberFormat="1" applyFont="1" applyFill="1" applyBorder="1" applyAlignment="1"/>
    <xf numFmtId="0" fontId="5" fillId="2" borderId="1" xfId="725" applyNumberFormat="1" applyFont="1" applyFill="1" applyBorder="1" applyAlignment="1">
      <alignment horizontal="right" vertical="center"/>
    </xf>
    <xf numFmtId="0" fontId="21" fillId="3" borderId="4" xfId="725" applyNumberFormat="1" applyFont="1" applyFill="1" applyBorder="1" applyAlignment="1"/>
    <xf numFmtId="0" fontId="5" fillId="3" borderId="3" xfId="725" applyNumberFormat="1" applyFont="1" applyFill="1" applyBorder="1" applyAlignment="1"/>
    <xf numFmtId="0" fontId="5" fillId="3" borderId="2" xfId="725" applyNumberFormat="1" applyFont="1" applyFill="1" applyBorder="1" applyAlignment="1"/>
    <xf numFmtId="0" fontId="5" fillId="0" borderId="0" xfId="725" applyNumberFormat="1" applyFont="1" applyAlignment="1"/>
    <xf numFmtId="164" fontId="5" fillId="2" borderId="1" xfId="9" applyNumberFormat="1" applyFont="1" applyFill="1" applyBorder="1" applyAlignment="1">
      <alignment horizontal="center"/>
    </xf>
    <xf numFmtId="164" fontId="5" fillId="2" borderId="1" xfId="9" applyNumberFormat="1" applyFont="1" applyFill="1" applyBorder="1" applyAlignment="1"/>
    <xf numFmtId="10" fontId="4" fillId="2" borderId="1" xfId="10" applyNumberFormat="1" applyFont="1" applyFill="1" applyBorder="1" applyAlignment="1">
      <alignment horizontal="right"/>
    </xf>
    <xf numFmtId="10" fontId="5" fillId="2" borderId="2" xfId="10" applyNumberFormat="1" applyFont="1" applyFill="1" applyBorder="1" applyAlignment="1">
      <alignment horizontal="right"/>
    </xf>
    <xf numFmtId="0" fontId="5" fillId="0" borderId="0" xfId="0" applyFont="1" applyAlignment="1">
      <alignment horizontal="left" indent="1"/>
    </xf>
    <xf numFmtId="43" fontId="5" fillId="0" borderId="0" xfId="0" applyNumberFormat="1" applyFont="1" applyAlignment="1">
      <alignment horizontal="left" indent="1"/>
    </xf>
    <xf numFmtId="0" fontId="9" fillId="5" borderId="1" xfId="0" applyFont="1" applyFill="1" applyBorder="1" applyAlignment="1">
      <alignment horizontal="left" indent="1"/>
    </xf>
    <xf numFmtId="0" fontId="5" fillId="0" borderId="0" xfId="0" applyFont="1" applyFill="1" applyAlignment="1">
      <alignment horizontal="right" wrapText="1"/>
    </xf>
    <xf numFmtId="0" fontId="9" fillId="5" borderId="1" xfId="0" applyFont="1" applyFill="1" applyBorder="1" applyAlignment="1">
      <alignment horizontal="left" wrapText="1" indent="1"/>
    </xf>
    <xf numFmtId="0" fontId="5" fillId="5" borderId="1" xfId="725" applyFont="1" applyFill="1" applyBorder="1" applyAlignment="1"/>
    <xf numFmtId="0" fontId="4" fillId="5" borderId="1" xfId="725" applyFont="1" applyFill="1" applyBorder="1" applyAlignment="1"/>
    <xf numFmtId="0" fontId="9" fillId="5" borderId="1" xfId="0" applyFont="1" applyFill="1" applyBorder="1" applyAlignment="1">
      <alignment horizontal="left" wrapText="1"/>
    </xf>
    <xf numFmtId="0" fontId="3" fillId="4" borderId="0" xfId="726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9" fillId="5" borderId="1" xfId="0" applyFont="1" applyFill="1" applyBorder="1" applyAlignment="1">
      <alignment horizontal="right" indent="1"/>
    </xf>
    <xf numFmtId="0" fontId="26" fillId="0" borderId="0" xfId="727" applyFont="1" applyFill="1"/>
    <xf numFmtId="0" fontId="27" fillId="0" borderId="0" xfId="727" applyFont="1" applyFill="1"/>
    <xf numFmtId="166" fontId="0" fillId="0" borderId="0" xfId="10" applyNumberFormat="1" applyFont="1"/>
    <xf numFmtId="0" fontId="0" fillId="0" borderId="0" xfId="0"/>
    <xf numFmtId="0" fontId="28" fillId="0" borderId="0" xfId="0" applyFont="1"/>
    <xf numFmtId="167" fontId="5" fillId="0" borderId="0" xfId="0" applyNumberFormat="1" applyFont="1" applyAlignment="1"/>
    <xf numFmtId="0" fontId="30" fillId="0" borderId="0" xfId="0" applyFont="1" applyFill="1" applyAlignment="1">
      <alignment horizontal="right" wrapText="1"/>
    </xf>
    <xf numFmtId="0" fontId="29" fillId="0" borderId="0" xfId="0" applyFont="1" applyAlignment="1">
      <alignment horizontal="right"/>
    </xf>
    <xf numFmtId="0" fontId="4" fillId="0" borderId="0" xfId="0" applyFont="1" applyFill="1" applyAlignment="1">
      <alignment horizontal="right" wrapText="1"/>
    </xf>
    <xf numFmtId="166" fontId="0" fillId="0" borderId="0" xfId="0" applyNumberFormat="1"/>
    <xf numFmtId="0" fontId="31" fillId="0" borderId="0" xfId="0" applyFont="1" applyFill="1" applyAlignment="1">
      <alignment horizontal="right" wrapText="1"/>
    </xf>
    <xf numFmtId="0" fontId="26" fillId="0" borderId="0" xfId="0" applyFont="1" applyFill="1"/>
    <xf numFmtId="0" fontId="3" fillId="3" borderId="0" xfId="0" applyFont="1" applyFill="1" applyAlignment="1">
      <alignment wrapText="1"/>
    </xf>
    <xf numFmtId="0" fontId="4" fillId="3" borderId="0" xfId="0" applyFont="1" applyFill="1" applyAlignment="1"/>
    <xf numFmtId="0" fontId="29" fillId="0" borderId="0" xfId="725" applyFont="1" applyFill="1" applyAlignment="1">
      <alignment horizontal="right" wrapText="1"/>
    </xf>
    <xf numFmtId="0" fontId="32" fillId="0" borderId="0" xfId="0" applyFont="1" applyFill="1" applyAlignment="1">
      <alignment horizontal="right" wrapText="1"/>
    </xf>
    <xf numFmtId="0" fontId="0" fillId="3" borderId="0" xfId="0" applyFont="1" applyFill="1" applyAlignment="1"/>
    <xf numFmtId="0" fontId="3" fillId="0" borderId="0" xfId="725" applyFont="1" applyFill="1" applyAlignment="1">
      <alignment horizontal="right" wrapText="1"/>
    </xf>
    <xf numFmtId="166" fontId="0" fillId="0" borderId="0" xfId="0" applyNumberFormat="1" applyFont="1" applyAlignment="1"/>
    <xf numFmtId="0" fontId="5" fillId="5" borderId="1" xfId="0" applyFont="1" applyFill="1" applyBorder="1" applyAlignment="1">
      <alignment horizontal="left" vertical="center" wrapText="1"/>
    </xf>
    <xf numFmtId="166" fontId="5" fillId="0" borderId="0" xfId="10" applyNumberFormat="1" applyFont="1" applyAlignment="1"/>
    <xf numFmtId="0" fontId="33" fillId="0" borderId="0" xfId="0" applyFont="1" applyAlignment="1"/>
    <xf numFmtId="0" fontId="33" fillId="3" borderId="0" xfId="0" applyFont="1" applyFill="1" applyAlignment="1"/>
    <xf numFmtId="0" fontId="5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/>
    <xf numFmtId="0" fontId="5" fillId="5" borderId="1" xfId="0" applyFont="1" applyFill="1" applyBorder="1" applyAlignment="1">
      <alignment horizontal="left" wrapText="1"/>
    </xf>
    <xf numFmtId="0" fontId="5" fillId="5" borderId="1" xfId="0" applyFont="1" applyFill="1" applyBorder="1" applyAlignment="1"/>
    <xf numFmtId="0" fontId="34" fillId="5" borderId="1" xfId="0" applyFont="1" applyFill="1" applyBorder="1"/>
    <xf numFmtId="0" fontId="35" fillId="5" borderId="1" xfId="727" applyFont="1" applyFill="1" applyBorder="1"/>
    <xf numFmtId="0" fontId="4" fillId="5" borderId="1" xfId="726" applyFont="1" applyFill="1" applyBorder="1" applyAlignment="1">
      <alignment horizontal="left"/>
    </xf>
    <xf numFmtId="2" fontId="10" fillId="2" borderId="1" xfId="725" applyNumberFormat="1" applyFont="1" applyFill="1" applyBorder="1" applyAlignment="1"/>
    <xf numFmtId="0" fontId="10" fillId="2" borderId="1" xfId="725" applyFont="1" applyFill="1" applyBorder="1" applyAlignment="1"/>
    <xf numFmtId="2" fontId="10" fillId="2" borderId="1" xfId="725" quotePrefix="1" applyNumberFormat="1" applyFont="1" applyFill="1" applyBorder="1" applyAlignment="1"/>
    <xf numFmtId="167" fontId="5" fillId="0" borderId="0" xfId="0" applyNumberFormat="1" applyFont="1" applyFill="1" applyBorder="1" applyAlignment="1"/>
    <xf numFmtId="0" fontId="28" fillId="0" borderId="0" xfId="0" applyFont="1" applyFill="1" applyBorder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5" fillId="5" borderId="3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vertical="center"/>
    </xf>
    <xf numFmtId="9" fontId="10" fillId="0" borderId="0" xfId="10" applyFont="1" applyFill="1" applyBorder="1" applyAlignment="1"/>
    <xf numFmtId="0" fontId="5" fillId="5" borderId="3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/>
    <xf numFmtId="166" fontId="0" fillId="2" borderId="1" xfId="10" applyNumberFormat="1" applyFont="1" applyFill="1" applyBorder="1"/>
    <xf numFmtId="166" fontId="5" fillId="2" borderId="1" xfId="10" applyNumberFormat="1" applyFont="1" applyFill="1" applyBorder="1" applyAlignment="1"/>
    <xf numFmtId="167" fontId="0" fillId="2" borderId="1" xfId="0" applyNumberFormat="1" applyFill="1" applyBorder="1"/>
    <xf numFmtId="166" fontId="0" fillId="2" borderId="1" xfId="10" applyNumberFormat="1" applyFont="1" applyFill="1" applyBorder="1" applyAlignment="1"/>
    <xf numFmtId="167" fontId="5" fillId="2" borderId="1" xfId="0" applyNumberFormat="1" applyFont="1" applyFill="1" applyBorder="1" applyAlignment="1"/>
    <xf numFmtId="0" fontId="5" fillId="0" borderId="0" xfId="0" applyNumberFormat="1" applyFont="1" applyAlignment="1"/>
    <xf numFmtId="166" fontId="1" fillId="2" borderId="1" xfId="10" applyNumberFormat="1" applyFont="1" applyFill="1" applyBorder="1"/>
    <xf numFmtId="166" fontId="5" fillId="2" borderId="1" xfId="10" applyNumberFormat="1" applyFont="1" applyFill="1" applyBorder="1" applyAlignment="1">
      <alignment horizontal="right"/>
    </xf>
    <xf numFmtId="0" fontId="0" fillId="2" borderId="1" xfId="0" applyFill="1" applyBorder="1"/>
    <xf numFmtId="10" fontId="0" fillId="2" borderId="1" xfId="10" applyNumberFormat="1" applyFont="1" applyFill="1" applyBorder="1"/>
    <xf numFmtId="166" fontId="0" fillId="2" borderId="1" xfId="0" applyNumberFormat="1" applyFill="1" applyBorder="1"/>
    <xf numFmtId="0" fontId="5" fillId="2" borderId="1" xfId="725" applyFont="1" applyFill="1" applyBorder="1" applyAlignment="1"/>
    <xf numFmtId="0" fontId="5" fillId="5" borderId="5" xfId="0" applyFont="1" applyFill="1" applyBorder="1" applyAlignment="1">
      <alignment vertical="center" wrapText="1"/>
    </xf>
    <xf numFmtId="0" fontId="5" fillId="5" borderId="7" xfId="0" applyFont="1" applyFill="1" applyBorder="1" applyAlignment="1">
      <alignment vertical="center" wrapText="1"/>
    </xf>
    <xf numFmtId="0" fontId="5" fillId="5" borderId="8" xfId="0" applyFont="1" applyFill="1" applyBorder="1" applyAlignment="1">
      <alignment vertical="center" wrapText="1"/>
    </xf>
    <xf numFmtId="43" fontId="5" fillId="5" borderId="3" xfId="0" applyNumberFormat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 indent="1"/>
    </xf>
    <xf numFmtId="0" fontId="5" fillId="5" borderId="1" xfId="0" applyFont="1" applyFill="1" applyBorder="1" applyAlignment="1">
      <alignment horizontal="left" vertical="center"/>
    </xf>
    <xf numFmtId="43" fontId="5" fillId="5" borderId="1" xfId="0" applyNumberFormat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 wrapText="1"/>
    </xf>
    <xf numFmtId="10" fontId="5" fillId="5" borderId="1" xfId="0" applyNumberFormat="1" applyFont="1" applyFill="1" applyBorder="1" applyAlignment="1">
      <alignment horizontal="center"/>
    </xf>
    <xf numFmtId="10" fontId="0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25" fillId="5" borderId="1" xfId="0" applyFont="1" applyFill="1" applyBorder="1" applyAlignment="1">
      <alignment horizontal="center" vertical="center" wrapText="1"/>
    </xf>
    <xf numFmtId="0" fontId="5" fillId="5" borderId="1" xfId="725" applyFont="1" applyFill="1" applyBorder="1" applyAlignment="1">
      <alignment horizontal="center" vertical="center" wrapText="1"/>
    </xf>
    <xf numFmtId="0" fontId="26" fillId="0" borderId="0" xfId="727" applyFont="1" applyFill="1" applyAlignment="1">
      <alignment wrapText="1"/>
    </xf>
  </cellXfs>
  <cellStyles count="72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4020000}"/>
    <cellStyle name="Normal 3" xfId="726" xr:uid="{00000000-0005-0000-0000-0000D5020000}"/>
    <cellStyle name="Normal 4" xfId="727" xr:uid="{00000000-0005-0000-0000-000003030000}"/>
    <cellStyle name="Percent" xfId="10" builtinId="5"/>
    <cellStyle name="Percent 2" xfId="728" xr:uid="{00000000-0005-0000-0000-000004030000}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CCFFCC"/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19</xdr:row>
      <xdr:rowOff>0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G72"/>
  <sheetViews>
    <sheetView tabSelected="1" zoomScale="119" zoomScaleNormal="115" workbookViewId="0">
      <selection activeCell="B11" sqref="B11"/>
    </sheetView>
  </sheetViews>
  <sheetFormatPr defaultColWidth="14.36328125" defaultRowHeight="15.75" customHeight="1" x14ac:dyDescent="0.25"/>
  <cols>
    <col min="1" max="1" width="30.6328125" style="15" customWidth="1"/>
    <col min="2" max="2" width="38.54296875" style="19" customWidth="1"/>
    <col min="3" max="3" width="14.36328125" style="15" customWidth="1"/>
    <col min="4" max="4" width="30.453125" style="84" customWidth="1"/>
    <col min="5" max="5" width="58.08984375" style="15" customWidth="1"/>
    <col min="6" max="16384" width="14.36328125" style="15"/>
  </cols>
  <sheetData>
    <row r="1" spans="1:6" ht="27" customHeight="1" x14ac:dyDescent="0.35">
      <c r="A1" s="1" t="s">
        <v>100</v>
      </c>
      <c r="B1" s="48" t="s">
        <v>165</v>
      </c>
      <c r="C1" s="95" t="s">
        <v>223</v>
      </c>
      <c r="D1" s="120" t="s">
        <v>240</v>
      </c>
      <c r="E1" s="120" t="s">
        <v>241</v>
      </c>
      <c r="F1" s="96"/>
    </row>
    <row r="2" spans="1:6" ht="16" customHeight="1" x14ac:dyDescent="0.3">
      <c r="A2" s="15" t="s">
        <v>192</v>
      </c>
      <c r="B2" s="48"/>
    </row>
    <row r="3" spans="1:6" ht="16" customHeight="1" x14ac:dyDescent="0.3">
      <c r="A3" s="1"/>
      <c r="B3" s="9" t="s">
        <v>194</v>
      </c>
      <c r="C3" s="73">
        <v>2017</v>
      </c>
    </row>
    <row r="4" spans="1:6" ht="16" customHeight="1" x14ac:dyDescent="0.3">
      <c r="A4" s="1"/>
      <c r="B4" s="12" t="s">
        <v>193</v>
      </c>
      <c r="C4" s="74">
        <v>2030</v>
      </c>
    </row>
    <row r="5" spans="1:6" ht="16" customHeight="1" x14ac:dyDescent="0.3">
      <c r="A5" s="1"/>
      <c r="B5" s="48"/>
    </row>
    <row r="6" spans="1:6" ht="15" customHeight="1" x14ac:dyDescent="0.25">
      <c r="A6" s="15" t="s">
        <v>48</v>
      </c>
    </row>
    <row r="7" spans="1:6" ht="15" customHeight="1" x14ac:dyDescent="0.35">
      <c r="B7" s="9" t="s">
        <v>106</v>
      </c>
      <c r="C7" s="145">
        <v>0.6</v>
      </c>
      <c r="D7" s="118" t="s">
        <v>203</v>
      </c>
      <c r="E7" s="122" t="s">
        <v>282</v>
      </c>
    </row>
    <row r="8" spans="1:6" ht="38.25" customHeight="1" x14ac:dyDescent="0.3">
      <c r="A8" s="116"/>
      <c r="B8" s="12" t="s">
        <v>107</v>
      </c>
      <c r="C8" s="139">
        <v>0.17960000000000001</v>
      </c>
      <c r="D8" s="118" t="s">
        <v>242</v>
      </c>
      <c r="E8" s="121" t="s">
        <v>253</v>
      </c>
    </row>
    <row r="9" spans="1:6" ht="38.25" customHeight="1" x14ac:dyDescent="0.3">
      <c r="A9" s="116"/>
      <c r="B9" s="12"/>
      <c r="C9" s="140">
        <v>0.26629999999999998</v>
      </c>
      <c r="D9" s="118" t="s">
        <v>242</v>
      </c>
      <c r="E9" s="121" t="s">
        <v>254</v>
      </c>
      <c r="F9" s="16"/>
    </row>
    <row r="10" spans="1:6" ht="15" customHeight="1" x14ac:dyDescent="0.3">
      <c r="A10" s="116"/>
      <c r="B10" s="12" t="s">
        <v>105</v>
      </c>
      <c r="C10" s="139">
        <v>0.70709999999999995</v>
      </c>
      <c r="D10" s="118" t="s">
        <v>242</v>
      </c>
      <c r="E10" s="122"/>
    </row>
    <row r="11" spans="1:6" ht="15" customHeight="1" x14ac:dyDescent="0.3">
      <c r="A11" s="116"/>
      <c r="B11" s="9" t="s">
        <v>108</v>
      </c>
      <c r="C11" s="139">
        <v>0.35699999999999998</v>
      </c>
      <c r="D11" s="118" t="s">
        <v>242</v>
      </c>
      <c r="E11" s="122" t="s">
        <v>269</v>
      </c>
    </row>
    <row r="12" spans="1:6" ht="15" customHeight="1" x14ac:dyDescent="0.3">
      <c r="A12" s="116"/>
      <c r="B12" s="9" t="s">
        <v>109</v>
      </c>
      <c r="C12" s="139">
        <v>0.21199999999999999</v>
      </c>
      <c r="D12" s="118" t="s">
        <v>242</v>
      </c>
      <c r="E12" s="122" t="s">
        <v>270</v>
      </c>
    </row>
    <row r="13" spans="1:6" ht="15" customHeight="1" x14ac:dyDescent="0.3">
      <c r="A13" s="116"/>
      <c r="B13" s="9" t="s">
        <v>110</v>
      </c>
      <c r="C13" s="139">
        <v>0.247</v>
      </c>
      <c r="D13" s="118" t="s">
        <v>242</v>
      </c>
      <c r="E13" s="122"/>
    </row>
    <row r="14" spans="1:6" ht="15" customHeight="1" x14ac:dyDescent="0.25">
      <c r="B14" s="15"/>
    </row>
    <row r="15" spans="1:6" ht="15" customHeight="1" x14ac:dyDescent="0.3">
      <c r="A15" s="15" t="s">
        <v>30</v>
      </c>
      <c r="B15" s="21"/>
    </row>
    <row r="16" spans="1:6" ht="15" customHeight="1" x14ac:dyDescent="0.25">
      <c r="B16" s="12" t="s">
        <v>94</v>
      </c>
      <c r="C16" s="140">
        <v>0.59699999999999998</v>
      </c>
      <c r="D16" s="118" t="s">
        <v>280</v>
      </c>
      <c r="E16" s="122" t="s">
        <v>284</v>
      </c>
    </row>
    <row r="17" spans="1:7" ht="15" customHeight="1" x14ac:dyDescent="0.25">
      <c r="B17" s="12" t="s">
        <v>95</v>
      </c>
      <c r="C17" s="140"/>
      <c r="D17" s="155"/>
      <c r="E17" s="122"/>
    </row>
    <row r="18" spans="1:7" ht="15" customHeight="1" x14ac:dyDescent="0.25">
      <c r="B18" s="12" t="s">
        <v>96</v>
      </c>
      <c r="C18" s="140"/>
      <c r="D18" s="155"/>
      <c r="E18" s="122"/>
    </row>
    <row r="19" spans="1:7" ht="15" customHeight="1" x14ac:dyDescent="0.25">
      <c r="B19" s="12" t="s">
        <v>97</v>
      </c>
      <c r="C19" s="140"/>
      <c r="D19" s="155"/>
      <c r="E19" s="122"/>
    </row>
    <row r="20" spans="1:7" ht="15" customHeight="1" x14ac:dyDescent="0.25">
      <c r="B20" s="12" t="s">
        <v>98</v>
      </c>
      <c r="C20" s="115"/>
    </row>
    <row r="21" spans="1:7" ht="15" customHeight="1" x14ac:dyDescent="0.25">
      <c r="B21" s="15"/>
      <c r="C21" s="115"/>
    </row>
    <row r="22" spans="1:7" ht="15" customHeight="1" x14ac:dyDescent="0.25">
      <c r="A22" s="15" t="s">
        <v>99</v>
      </c>
      <c r="C22" s="115"/>
    </row>
    <row r="23" spans="1:7" ht="15" customHeight="1" x14ac:dyDescent="0.35">
      <c r="A23" s="116"/>
      <c r="B23" s="22" t="s">
        <v>101</v>
      </c>
      <c r="C23" s="139">
        <v>0.17019999999999999</v>
      </c>
      <c r="D23" s="156" t="s">
        <v>242</v>
      </c>
      <c r="E23" s="123" t="s">
        <v>243</v>
      </c>
      <c r="F23" s="99"/>
    </row>
    <row r="24" spans="1:7" ht="15" customHeight="1" x14ac:dyDescent="0.35">
      <c r="A24" s="116"/>
      <c r="B24" s="22" t="s">
        <v>102</v>
      </c>
      <c r="C24" s="139">
        <v>0.497</v>
      </c>
      <c r="D24" s="156"/>
      <c r="E24" s="123" t="s">
        <v>243</v>
      </c>
      <c r="F24" s="99"/>
    </row>
    <row r="25" spans="1:7" ht="15" customHeight="1" x14ac:dyDescent="0.35">
      <c r="A25" s="116"/>
      <c r="B25" s="22" t="s">
        <v>103</v>
      </c>
      <c r="C25" s="139">
        <v>0.26719999999999999</v>
      </c>
      <c r="D25" s="156"/>
      <c r="E25" s="123" t="s">
        <v>243</v>
      </c>
      <c r="F25" s="99"/>
    </row>
    <row r="26" spans="1:7" ht="15" customHeight="1" x14ac:dyDescent="0.35">
      <c r="A26" s="116"/>
      <c r="B26" s="22" t="s">
        <v>104</v>
      </c>
      <c r="C26" s="139">
        <v>6.5600000000000006E-2</v>
      </c>
      <c r="D26" s="156"/>
      <c r="E26" s="123" t="s">
        <v>243</v>
      </c>
      <c r="F26" s="99"/>
    </row>
    <row r="27" spans="1:7" ht="15" customHeight="1" x14ac:dyDescent="0.25">
      <c r="B27" s="22"/>
      <c r="C27" s="115"/>
    </row>
    <row r="28" spans="1:7" ht="15" customHeight="1" x14ac:dyDescent="0.25">
      <c r="A28" s="15" t="s">
        <v>197</v>
      </c>
      <c r="B28" s="22"/>
      <c r="C28" s="115"/>
      <c r="D28"/>
    </row>
    <row r="29" spans="1:7" ht="14.25" customHeight="1" x14ac:dyDescent="0.3">
      <c r="A29" s="116"/>
      <c r="B29" s="34" t="s">
        <v>75</v>
      </c>
      <c r="C29" s="142">
        <v>0.20910000000000001</v>
      </c>
      <c r="D29" s="156" t="s">
        <v>242</v>
      </c>
      <c r="E29" s="151"/>
    </row>
    <row r="30" spans="1:7" ht="14.25" customHeight="1" x14ac:dyDescent="0.35">
      <c r="A30" s="116"/>
      <c r="B30" s="34" t="s">
        <v>76</v>
      </c>
      <c r="C30" s="142">
        <v>8.3099999999999993E-2</v>
      </c>
      <c r="D30" s="156"/>
      <c r="E30" s="152"/>
      <c r="F30" s="99"/>
      <c r="G30" s="98"/>
    </row>
    <row r="31" spans="1:7" ht="14.25" customHeight="1" x14ac:dyDescent="0.35">
      <c r="A31" s="116"/>
      <c r="B31" s="34" t="s">
        <v>77</v>
      </c>
      <c r="C31" s="142">
        <v>0.14910000000000001</v>
      </c>
      <c r="D31" s="156"/>
      <c r="E31" s="152"/>
      <c r="F31" s="99"/>
      <c r="G31" s="98"/>
    </row>
    <row r="32" spans="1:7" ht="14.25" customHeight="1" x14ac:dyDescent="0.3">
      <c r="A32" s="116"/>
      <c r="B32" s="34" t="s">
        <v>78</v>
      </c>
      <c r="C32" s="142">
        <v>0.55879999999999996</v>
      </c>
      <c r="D32" s="156"/>
      <c r="E32" s="153"/>
    </row>
    <row r="33" spans="1:6" ht="13" x14ac:dyDescent="0.25">
      <c r="B33" s="36" t="s">
        <v>130</v>
      </c>
      <c r="C33" s="144"/>
    </row>
    <row r="34" spans="1:6" ht="15" customHeight="1" x14ac:dyDescent="0.25">
      <c r="C34" s="144"/>
    </row>
    <row r="35" spans="1:6" ht="15" customHeight="1" x14ac:dyDescent="0.3">
      <c r="A35" s="4" t="s">
        <v>136</v>
      </c>
      <c r="C35" s="144"/>
    </row>
    <row r="36" spans="1:6" ht="15" customHeight="1" x14ac:dyDescent="0.25">
      <c r="A36" s="15" t="s">
        <v>74</v>
      </c>
      <c r="B36" s="9"/>
      <c r="C36" s="144"/>
      <c r="D36"/>
    </row>
    <row r="37" spans="1:6" ht="15" customHeight="1" x14ac:dyDescent="0.3">
      <c r="A37" s="116"/>
      <c r="B37" s="49" t="s">
        <v>92</v>
      </c>
      <c r="C37" s="143">
        <v>51.554900000000004</v>
      </c>
      <c r="D37" s="156" t="s">
        <v>242</v>
      </c>
      <c r="E37" s="135"/>
      <c r="F37" s="100"/>
    </row>
    <row r="38" spans="1:6" ht="15" customHeight="1" x14ac:dyDescent="0.3">
      <c r="A38" s="116"/>
      <c r="B38" s="19" t="s">
        <v>91</v>
      </c>
      <c r="C38" s="143">
        <v>85.210800000000006</v>
      </c>
      <c r="D38" s="156"/>
      <c r="E38" s="135"/>
      <c r="F38" s="100"/>
    </row>
    <row r="39" spans="1:6" ht="15" customHeight="1" x14ac:dyDescent="0.3">
      <c r="A39" s="116"/>
      <c r="B39" s="19" t="s">
        <v>90</v>
      </c>
      <c r="C39" s="143">
        <v>161.39339999999999</v>
      </c>
      <c r="D39" s="156"/>
      <c r="E39" s="135"/>
      <c r="F39" s="129"/>
    </row>
    <row r="40" spans="1:6" ht="15" customHeight="1" x14ac:dyDescent="0.35">
      <c r="B40" s="19" t="s">
        <v>268</v>
      </c>
      <c r="C40" s="141">
        <v>846</v>
      </c>
      <c r="D40" s="156"/>
      <c r="E40" s="135" t="s">
        <v>276</v>
      </c>
      <c r="F40" s="130"/>
    </row>
    <row r="41" spans="1:6" ht="26.65" customHeight="1" x14ac:dyDescent="0.25">
      <c r="B41" s="19" t="s">
        <v>89</v>
      </c>
      <c r="C41" s="140">
        <v>0.13</v>
      </c>
      <c r="D41" s="114" t="s">
        <v>205</v>
      </c>
      <c r="E41" s="134" t="s">
        <v>285</v>
      </c>
      <c r="F41" s="131"/>
    </row>
    <row r="42" spans="1:6" ht="15" customHeight="1" x14ac:dyDescent="0.25">
      <c r="B42" s="49" t="s">
        <v>93</v>
      </c>
      <c r="C42" s="143">
        <v>27.27</v>
      </c>
      <c r="D42" s="119" t="s">
        <v>271</v>
      </c>
      <c r="E42" s="135" t="s">
        <v>286</v>
      </c>
      <c r="F42" s="132"/>
    </row>
    <row r="43" spans="1:6" ht="15.75" customHeight="1" x14ac:dyDescent="0.25">
      <c r="C43" s="144"/>
      <c r="D43" s="85"/>
      <c r="F43" s="133"/>
    </row>
    <row r="44" spans="1:6" ht="15.75" customHeight="1" x14ac:dyDescent="0.25">
      <c r="A44" s="15" t="s">
        <v>134</v>
      </c>
      <c r="C44" s="144"/>
      <c r="D44"/>
    </row>
    <row r="45" spans="1:6" ht="15.75" customHeight="1" x14ac:dyDescent="0.25">
      <c r="B45" s="19" t="s">
        <v>9</v>
      </c>
      <c r="C45" s="140">
        <v>1.9099999999999999E-2</v>
      </c>
      <c r="D45" s="157" t="s">
        <v>272</v>
      </c>
      <c r="E45" s="154" t="s">
        <v>287</v>
      </c>
    </row>
    <row r="46" spans="1:6" ht="15.75" customHeight="1" x14ac:dyDescent="0.25">
      <c r="B46" s="19" t="s">
        <v>11</v>
      </c>
      <c r="C46" s="140">
        <v>9.98E-2</v>
      </c>
      <c r="D46" s="157"/>
      <c r="E46" s="154"/>
    </row>
    <row r="47" spans="1:6" ht="15.75" customHeight="1" x14ac:dyDescent="0.25">
      <c r="B47" s="19" t="s">
        <v>12</v>
      </c>
      <c r="C47" s="140">
        <v>0.2</v>
      </c>
      <c r="D47" s="157"/>
      <c r="E47" s="154"/>
    </row>
    <row r="48" spans="1:6" ht="15" customHeight="1" x14ac:dyDescent="0.25">
      <c r="B48" s="19" t="s">
        <v>26</v>
      </c>
      <c r="C48" s="136"/>
      <c r="D48" s="85"/>
      <c r="E48" s="20"/>
    </row>
    <row r="49" spans="1:6" ht="15.75" customHeight="1" x14ac:dyDescent="0.25">
      <c r="D49" s="85"/>
    </row>
    <row r="50" spans="1:6" ht="15.75" customHeight="1" x14ac:dyDescent="0.25">
      <c r="A50" s="15" t="s">
        <v>72</v>
      </c>
      <c r="D50"/>
    </row>
    <row r="51" spans="1:6" ht="15.75" customHeight="1" x14ac:dyDescent="0.25">
      <c r="B51" s="19" t="s">
        <v>125</v>
      </c>
      <c r="C51" s="7">
        <v>3.3</v>
      </c>
      <c r="D51" s="157" t="s">
        <v>273</v>
      </c>
      <c r="E51" s="154" t="s">
        <v>288</v>
      </c>
    </row>
    <row r="52" spans="1:6" ht="15" customHeight="1" x14ac:dyDescent="0.25">
      <c r="B52" s="19" t="s">
        <v>126</v>
      </c>
      <c r="C52" s="7">
        <v>3.3</v>
      </c>
      <c r="D52" s="157"/>
      <c r="E52" s="154"/>
    </row>
    <row r="53" spans="1:6" ht="15.75" customHeight="1" x14ac:dyDescent="0.25">
      <c r="B53" s="19" t="s">
        <v>127</v>
      </c>
      <c r="C53" s="7">
        <v>3.3</v>
      </c>
      <c r="D53" s="157"/>
      <c r="E53" s="154"/>
    </row>
    <row r="54" spans="1:6" ht="15.75" customHeight="1" x14ac:dyDescent="0.25">
      <c r="B54" s="19" t="s">
        <v>128</v>
      </c>
      <c r="C54" s="7">
        <v>3.3</v>
      </c>
      <c r="D54" s="157"/>
      <c r="E54" s="154"/>
    </row>
    <row r="55" spans="1:6" ht="15.75" customHeight="1" x14ac:dyDescent="0.25">
      <c r="B55" s="19" t="s">
        <v>129</v>
      </c>
      <c r="C55" s="7">
        <v>3.3</v>
      </c>
      <c r="D55" s="157"/>
      <c r="E55" s="154"/>
    </row>
    <row r="57" spans="1:6" ht="15.75" customHeight="1" x14ac:dyDescent="0.25">
      <c r="A57" s="15" t="s">
        <v>135</v>
      </c>
      <c r="D57"/>
    </row>
    <row r="58" spans="1:6" ht="15.75" customHeight="1" x14ac:dyDescent="0.35">
      <c r="B58" s="9" t="s">
        <v>111</v>
      </c>
      <c r="C58" s="139">
        <v>0.31230000000000002</v>
      </c>
      <c r="D58" s="118" t="s">
        <v>242</v>
      </c>
      <c r="E58" s="138" t="s">
        <v>244</v>
      </c>
      <c r="F58" s="99"/>
    </row>
    <row r="59" spans="1:6" ht="65.650000000000006" customHeight="1" x14ac:dyDescent="0.25">
      <c r="B59" s="19" t="s">
        <v>133</v>
      </c>
      <c r="C59" s="146">
        <v>0.43519999999999998</v>
      </c>
      <c r="D59" s="114" t="s">
        <v>274</v>
      </c>
      <c r="E59" s="137" t="s">
        <v>275</v>
      </c>
    </row>
    <row r="60" spans="1:6" ht="15.75" customHeight="1" x14ac:dyDescent="0.25">
      <c r="C60" s="115"/>
    </row>
    <row r="61" spans="1:6" ht="15.75" customHeight="1" x14ac:dyDescent="0.3">
      <c r="A61" s="102" t="s">
        <v>245</v>
      </c>
      <c r="C61" s="97"/>
    </row>
    <row r="62" spans="1:6" ht="15.75" customHeight="1" x14ac:dyDescent="0.3">
      <c r="A62" s="116"/>
      <c r="B62" s="29" t="s">
        <v>246</v>
      </c>
      <c r="C62" s="139">
        <v>0.17800000000000002</v>
      </c>
      <c r="D62" s="118" t="s">
        <v>242</v>
      </c>
      <c r="E62" s="122"/>
    </row>
    <row r="63" spans="1:6" ht="15.75" customHeight="1" x14ac:dyDescent="0.3">
      <c r="A63" s="116"/>
      <c r="B63" s="29" t="s">
        <v>247</v>
      </c>
      <c r="C63" s="139">
        <v>5.5E-2</v>
      </c>
      <c r="D63" s="118" t="s">
        <v>242</v>
      </c>
      <c r="E63" s="122"/>
    </row>
    <row r="64" spans="1:6" ht="15.75" customHeight="1" x14ac:dyDescent="0.3">
      <c r="A64" s="116"/>
      <c r="B64" s="103" t="s">
        <v>248</v>
      </c>
      <c r="C64" s="139">
        <v>0</v>
      </c>
      <c r="D64" s="118" t="s">
        <v>242</v>
      </c>
      <c r="E64" s="122"/>
    </row>
    <row r="65" spans="1:5" ht="15.75" customHeight="1" x14ac:dyDescent="0.3">
      <c r="A65" s="116"/>
      <c r="B65" s="103" t="s">
        <v>249</v>
      </c>
      <c r="C65" s="139">
        <v>0.16389999999999999</v>
      </c>
      <c r="D65" s="118" t="s">
        <v>242</v>
      </c>
      <c r="E65" s="122"/>
    </row>
    <row r="66" spans="1:5" ht="15.75" customHeight="1" x14ac:dyDescent="0.3">
      <c r="A66" s="116"/>
      <c r="B66" s="103" t="s">
        <v>250</v>
      </c>
      <c r="C66" s="139">
        <v>0.37240000000000001</v>
      </c>
      <c r="D66" s="118" t="s">
        <v>242</v>
      </c>
      <c r="E66" s="122"/>
    </row>
    <row r="67" spans="1:5" ht="15.75" customHeight="1" x14ac:dyDescent="0.3">
      <c r="A67" s="116"/>
      <c r="B67" s="103" t="s">
        <v>251</v>
      </c>
      <c r="C67" s="139">
        <v>0.24790000000000001</v>
      </c>
      <c r="D67" s="118" t="s">
        <v>242</v>
      </c>
      <c r="E67" s="122"/>
    </row>
    <row r="68" spans="1:5" ht="15.75" customHeight="1" x14ac:dyDescent="0.3">
      <c r="A68" s="116"/>
      <c r="B68" s="103" t="s">
        <v>252</v>
      </c>
      <c r="C68" s="139">
        <v>0.1323</v>
      </c>
      <c r="D68" s="118" t="s">
        <v>242</v>
      </c>
      <c r="E68" s="122"/>
    </row>
    <row r="69" spans="1:5" ht="15.75" customHeight="1" x14ac:dyDescent="0.25">
      <c r="B69" s="103"/>
      <c r="C69" s="97"/>
    </row>
    <row r="70" spans="1:5" ht="15.75" customHeight="1" x14ac:dyDescent="0.3">
      <c r="A70" s="116"/>
      <c r="B70" s="19" t="s">
        <v>259</v>
      </c>
      <c r="C70" s="139">
        <v>0.17799999999999999</v>
      </c>
      <c r="D70" s="118" t="s">
        <v>242</v>
      </c>
      <c r="E70" s="122"/>
    </row>
    <row r="71" spans="1:5" ht="15.75" customHeight="1" x14ac:dyDescent="0.25">
      <c r="C71" s="115"/>
    </row>
    <row r="72" spans="1:5" ht="15.75" customHeight="1" x14ac:dyDescent="0.25">
      <c r="B72" s="19" t="s">
        <v>281</v>
      </c>
      <c r="C72" s="139">
        <v>0.90650000000000008</v>
      </c>
      <c r="D72" s="118" t="s">
        <v>283</v>
      </c>
      <c r="E72" s="122" t="s">
        <v>282</v>
      </c>
    </row>
  </sheetData>
  <mergeCells count="9">
    <mergeCell ref="E29:E32"/>
    <mergeCell ref="E45:E47"/>
    <mergeCell ref="E51:E55"/>
    <mergeCell ref="D17:D19"/>
    <mergeCell ref="D23:D26"/>
    <mergeCell ref="D29:D32"/>
    <mergeCell ref="D37:D40"/>
    <mergeCell ref="D45:D47"/>
    <mergeCell ref="D51:D55"/>
  </mergeCell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F9"/>
  <sheetViews>
    <sheetView zoomScale="60" zoomScaleNormal="60" workbookViewId="0">
      <selection activeCell="F20" sqref="F20"/>
    </sheetView>
  </sheetViews>
  <sheetFormatPr defaultColWidth="10.81640625" defaultRowHeight="15.5" x14ac:dyDescent="0.35"/>
  <cols>
    <col min="1" max="1" width="18.54296875" style="63" customWidth="1"/>
    <col min="2" max="5" width="10.81640625" style="63"/>
    <col min="6" max="6" width="17.7265625" style="63" customWidth="1"/>
    <col min="7" max="16384" width="10.81640625" style="63"/>
  </cols>
  <sheetData>
    <row r="1" spans="1:6" ht="52.5" x14ac:dyDescent="0.35">
      <c r="A1" s="68" t="s">
        <v>195</v>
      </c>
      <c r="B1" s="67" t="s">
        <v>176</v>
      </c>
      <c r="C1" s="67" t="s">
        <v>175</v>
      </c>
      <c r="D1" s="67" t="s">
        <v>174</v>
      </c>
      <c r="E1" s="67" t="s">
        <v>173</v>
      </c>
      <c r="F1" s="91" t="s">
        <v>209</v>
      </c>
    </row>
    <row r="2" spans="1:6" x14ac:dyDescent="0.35">
      <c r="A2" s="66" t="s">
        <v>165</v>
      </c>
      <c r="B2" s="65" t="s">
        <v>32</v>
      </c>
      <c r="C2" s="59">
        <f>1.5*0.61</f>
        <v>0.91500000000000004</v>
      </c>
      <c r="D2" s="59">
        <f>0.5*0.61</f>
        <v>0.30499999999999999</v>
      </c>
      <c r="E2" s="59">
        <v>0.05</v>
      </c>
      <c r="F2" s="165" t="s">
        <v>210</v>
      </c>
    </row>
    <row r="3" spans="1:6" x14ac:dyDescent="0.35">
      <c r="A3" s="65"/>
      <c r="B3" s="65" t="s">
        <v>1</v>
      </c>
      <c r="C3" s="59">
        <f>1.5*0.61</f>
        <v>0.91500000000000004</v>
      </c>
      <c r="D3" s="59">
        <f>0.5*0.61</f>
        <v>0.30499999999999999</v>
      </c>
      <c r="E3" s="59">
        <v>0.05</v>
      </c>
      <c r="F3" s="165"/>
    </row>
    <row r="4" spans="1:6" x14ac:dyDescent="0.35">
      <c r="A4" s="65"/>
      <c r="B4" s="65" t="s">
        <v>2</v>
      </c>
      <c r="C4" s="59">
        <f>1.5*0.61</f>
        <v>0.91500000000000004</v>
      </c>
      <c r="D4" s="59">
        <f>0.5*0.61</f>
        <v>0.30499999999999999</v>
      </c>
      <c r="E4" s="59">
        <v>0.05</v>
      </c>
      <c r="F4" s="165"/>
    </row>
    <row r="5" spans="1:6" x14ac:dyDescent="0.35">
      <c r="A5" s="65"/>
      <c r="B5" s="65" t="s">
        <v>3</v>
      </c>
      <c r="C5" s="59">
        <f>1.5*0.61</f>
        <v>0.91500000000000004</v>
      </c>
      <c r="D5" s="59">
        <f>0.5*0.61</f>
        <v>0.30499999999999999</v>
      </c>
      <c r="E5" s="59">
        <v>0.05</v>
      </c>
      <c r="F5" s="165"/>
    </row>
    <row r="6" spans="1:6" x14ac:dyDescent="0.35">
      <c r="A6" s="65"/>
      <c r="B6" s="65" t="s">
        <v>4</v>
      </c>
      <c r="C6" s="59">
        <f>1.5*0.61</f>
        <v>0.91500000000000004</v>
      </c>
      <c r="D6" s="59">
        <f>0.5*0.61</f>
        <v>0.30499999999999999</v>
      </c>
      <c r="E6" s="59">
        <v>0.05</v>
      </c>
      <c r="F6" s="165"/>
    </row>
    <row r="9" spans="1:6" x14ac:dyDescent="0.35">
      <c r="C9" s="64"/>
    </row>
  </sheetData>
  <mergeCells count="1">
    <mergeCell ref="F2:F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18"/>
  <sheetViews>
    <sheetView zoomScale="60" zoomScaleNormal="60" workbookViewId="0">
      <selection activeCell="F32" sqref="F32"/>
    </sheetView>
  </sheetViews>
  <sheetFormatPr defaultColWidth="11.36328125" defaultRowHeight="12.5" x14ac:dyDescent="0.25"/>
  <cols>
    <col min="1" max="1" width="53" style="57" bestFit="1" customWidth="1"/>
    <col min="2" max="2" width="47.81640625" style="42" customWidth="1"/>
    <col min="3" max="3" width="42.36328125" style="42" customWidth="1"/>
    <col min="4" max="16384" width="11.36328125" style="42"/>
  </cols>
  <sheetData>
    <row r="1" spans="1:3" ht="13" x14ac:dyDescent="0.3">
      <c r="A1" s="47" t="s">
        <v>69</v>
      </c>
      <c r="B1" s="47" t="s">
        <v>179</v>
      </c>
      <c r="C1" s="47" t="s">
        <v>178</v>
      </c>
    </row>
    <row r="2" spans="1:3" x14ac:dyDescent="0.25">
      <c r="A2" s="14" t="s">
        <v>186</v>
      </c>
      <c r="B2" s="53" t="s">
        <v>59</v>
      </c>
      <c r="C2" s="53"/>
    </row>
    <row r="3" spans="1:3" x14ac:dyDescent="0.25">
      <c r="A3" s="14" t="s">
        <v>191</v>
      </c>
      <c r="B3" s="53" t="s">
        <v>59</v>
      </c>
      <c r="C3" s="53"/>
    </row>
    <row r="4" spans="1:3" x14ac:dyDescent="0.25">
      <c r="A4" s="57" t="s">
        <v>58</v>
      </c>
      <c r="B4" s="53" t="s">
        <v>137</v>
      </c>
      <c r="C4" s="53"/>
    </row>
    <row r="5" spans="1:3" x14ac:dyDescent="0.25">
      <c r="A5" s="57" t="s">
        <v>138</v>
      </c>
      <c r="B5" s="53" t="s">
        <v>137</v>
      </c>
      <c r="C5" s="53"/>
    </row>
    <row r="11" spans="1:3" x14ac:dyDescent="0.25">
      <c r="A11" s="38"/>
    </row>
    <row r="12" spans="1:3" x14ac:dyDescent="0.25">
      <c r="A12" s="38"/>
    </row>
    <row r="13" spans="1:3" x14ac:dyDescent="0.25">
      <c r="A13" s="38"/>
    </row>
    <row r="14" spans="1:3" x14ac:dyDescent="0.25">
      <c r="A14" s="38"/>
    </row>
    <row r="15" spans="1:3" x14ac:dyDescent="0.25">
      <c r="A15" s="38"/>
    </row>
    <row r="16" spans="1:3" x14ac:dyDescent="0.25">
      <c r="A16" s="38"/>
    </row>
    <row r="17" spans="1:1" x14ac:dyDescent="0.25">
      <c r="A17" s="38"/>
    </row>
    <row r="18" spans="1:1" x14ac:dyDescent="0.25">
      <c r="A18" s="3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36328125" defaultRowHeight="12.5" x14ac:dyDescent="0.25"/>
  <cols>
    <col min="1" max="1" width="30.08984375" style="42" customWidth="1"/>
    <col min="2" max="16384" width="11.36328125" style="42"/>
  </cols>
  <sheetData>
    <row r="1" spans="1:1" ht="13" x14ac:dyDescent="0.3">
      <c r="A1" s="47" t="s">
        <v>69</v>
      </c>
    </row>
    <row r="2" spans="1:1" x14ac:dyDescent="0.25">
      <c r="A2" s="53" t="s">
        <v>198</v>
      </c>
    </row>
    <row r="3" spans="1:1" x14ac:dyDescent="0.25">
      <c r="A3" s="53" t="s">
        <v>57</v>
      </c>
    </row>
    <row r="4" spans="1:1" x14ac:dyDescent="0.25">
      <c r="A4" s="53" t="s">
        <v>34</v>
      </c>
    </row>
    <row r="5" spans="1:1" x14ac:dyDescent="0.25">
      <c r="A5" s="53" t="s">
        <v>83</v>
      </c>
    </row>
    <row r="6" spans="1:1" x14ac:dyDescent="0.25">
      <c r="A6" s="53" t="s">
        <v>82</v>
      </c>
    </row>
    <row r="7" spans="1:1" x14ac:dyDescent="0.25">
      <c r="A7" s="53" t="s">
        <v>81</v>
      </c>
    </row>
    <row r="8" spans="1:1" x14ac:dyDescent="0.25">
      <c r="A8" s="53" t="s">
        <v>79</v>
      </c>
    </row>
    <row r="9" spans="1:1" x14ac:dyDescent="0.25">
      <c r="A9" s="53" t="s">
        <v>80</v>
      </c>
    </row>
    <row r="10" spans="1:1" x14ac:dyDescent="0.25">
      <c r="A10" s="53"/>
    </row>
    <row r="11" spans="1:1" x14ac:dyDescent="0.25">
      <c r="A11" s="53"/>
    </row>
    <row r="12" spans="1:1" x14ac:dyDescent="0.25">
      <c r="A12" s="53"/>
    </row>
    <row r="13" spans="1:1" x14ac:dyDescent="0.25">
      <c r="A13" s="53"/>
    </row>
    <row r="14" spans="1:1" x14ac:dyDescent="0.25">
      <c r="A14" s="53"/>
    </row>
    <row r="15" spans="1:1" x14ac:dyDescent="0.25">
      <c r="A15" s="53"/>
    </row>
    <row r="16" spans="1:1" x14ac:dyDescent="0.25">
      <c r="A16" s="53"/>
    </row>
    <row r="17" spans="1:1" x14ac:dyDescent="0.25">
      <c r="A17" s="53"/>
    </row>
    <row r="18" spans="1:1" x14ac:dyDescent="0.25">
      <c r="A18" s="53"/>
    </row>
    <row r="19" spans="1:1" x14ac:dyDescent="0.25">
      <c r="A19" s="5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zoomScale="60" zoomScaleNormal="60" workbookViewId="0">
      <selection activeCell="I37" sqref="I37"/>
    </sheetView>
  </sheetViews>
  <sheetFormatPr defaultColWidth="14.36328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30">
        <f>'Baseline year population inputs'!C51</f>
        <v>3.3</v>
      </c>
      <c r="C2" s="30">
        <f>'Baseline year population inputs'!C52</f>
        <v>3.3</v>
      </c>
      <c r="D2" s="30">
        <f>'Baseline year population inputs'!C53</f>
        <v>3.3</v>
      </c>
      <c r="E2" s="30">
        <f>'Baseline year population inputs'!C54</f>
        <v>3.3</v>
      </c>
      <c r="F2" s="30">
        <f>'Baseline year population inputs'!C55</f>
        <v>3.3</v>
      </c>
    </row>
    <row r="3" spans="1:6" ht="15.75" customHeight="1" x14ac:dyDescent="0.25">
      <c r="A3" s="3" t="s">
        <v>65</v>
      </c>
      <c r="B3" s="30">
        <f>frac_mam_1month * 2.6</f>
        <v>0.54835741999999998</v>
      </c>
      <c r="C3" s="30">
        <f>frac_mam_1_5months * 2.6</f>
        <v>0.54835741999999998</v>
      </c>
      <c r="D3" s="30">
        <f>frac_mam_6_11months * 2.6</f>
        <v>0.12932114</v>
      </c>
      <c r="E3" s="30">
        <f>frac_mam_12_23months * 2.6</f>
        <v>0.14510886000000001</v>
      </c>
      <c r="F3" s="30">
        <f>frac_mam_24_59months * 2.6</f>
        <v>0.15533518000000002</v>
      </c>
    </row>
    <row r="4" spans="1:6" ht="15.75" customHeight="1" x14ac:dyDescent="0.25">
      <c r="A4" s="3" t="s">
        <v>66</v>
      </c>
      <c r="B4" s="30">
        <f>frac_sam_1month * 2.6</f>
        <v>5.2527539999999998E-2</v>
      </c>
      <c r="C4" s="30">
        <f>frac_sam_1_5months * 2.6</f>
        <v>5.2527539999999998E-2</v>
      </c>
      <c r="D4" s="30">
        <f>frac_sam_6_11months * 2.6</f>
        <v>0</v>
      </c>
      <c r="E4" s="30">
        <f>frac_sam_12_23months * 2.6</f>
        <v>0.12739402</v>
      </c>
      <c r="F4" s="30">
        <f>frac_sam_24_59months * 2.6</f>
        <v>4.2775720000000003E-2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39"/>
  <sheetViews>
    <sheetView zoomScale="60" zoomScaleNormal="60" workbookViewId="0">
      <selection activeCell="C1" sqref="C1"/>
    </sheetView>
  </sheetViews>
  <sheetFormatPr defaultColWidth="14.36328125" defaultRowHeight="15.75" customHeight="1" x14ac:dyDescent="0.25"/>
  <cols>
    <col min="1" max="1" width="20" bestFit="1" customWidth="1"/>
    <col min="2" max="2" width="45.81640625" customWidth="1"/>
    <col min="3" max="3" width="8.36328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4" t="s">
        <v>61</v>
      </c>
      <c r="C2" s="40">
        <v>0</v>
      </c>
      <c r="D2" s="40">
        <f>food_insecure</f>
        <v>0.6</v>
      </c>
      <c r="E2" s="40">
        <f>food_insecure</f>
        <v>0.6</v>
      </c>
      <c r="F2" s="40">
        <f>food_insecure</f>
        <v>0.6</v>
      </c>
      <c r="G2" s="40">
        <f>food_insecure</f>
        <v>0.6</v>
      </c>
      <c r="H2" s="41">
        <v>0</v>
      </c>
      <c r="I2" s="41">
        <v>0</v>
      </c>
      <c r="J2" s="41">
        <v>0</v>
      </c>
      <c r="K2" s="41">
        <v>0</v>
      </c>
      <c r="L2" s="41">
        <v>0</v>
      </c>
      <c r="M2" s="41">
        <v>0</v>
      </c>
      <c r="N2" s="41">
        <v>0</v>
      </c>
      <c r="O2" s="41">
        <v>0</v>
      </c>
    </row>
    <row r="3" spans="1:15" ht="15.75" customHeight="1" x14ac:dyDescent="0.25">
      <c r="B3" s="9" t="s">
        <v>150</v>
      </c>
      <c r="C3" s="40">
        <v>1</v>
      </c>
      <c r="D3" s="40">
        <v>0</v>
      </c>
      <c r="E3" s="40">
        <v>0</v>
      </c>
      <c r="F3" s="40">
        <v>0</v>
      </c>
      <c r="G3" s="40">
        <v>0</v>
      </c>
      <c r="H3" s="41">
        <v>0</v>
      </c>
      <c r="I3" s="41">
        <v>0</v>
      </c>
      <c r="J3" s="41">
        <v>0</v>
      </c>
      <c r="K3" s="41">
        <v>0</v>
      </c>
      <c r="L3" s="41">
        <v>0</v>
      </c>
      <c r="M3" s="41">
        <v>0</v>
      </c>
      <c r="N3" s="41">
        <v>0</v>
      </c>
      <c r="O3" s="41">
        <v>0</v>
      </c>
    </row>
    <row r="4" spans="1:15" ht="15.75" customHeight="1" x14ac:dyDescent="0.25">
      <c r="B4" s="9" t="s">
        <v>196</v>
      </c>
      <c r="C4" s="40">
        <v>1</v>
      </c>
      <c r="D4" s="40">
        <v>0</v>
      </c>
      <c r="E4" s="40">
        <v>0</v>
      </c>
      <c r="F4" s="40">
        <v>0</v>
      </c>
      <c r="G4" s="40">
        <v>0</v>
      </c>
      <c r="H4" s="41">
        <v>0</v>
      </c>
      <c r="I4" s="41">
        <v>0</v>
      </c>
      <c r="J4" s="41">
        <v>0</v>
      </c>
      <c r="K4" s="41">
        <v>0</v>
      </c>
      <c r="L4" s="41">
        <v>0</v>
      </c>
      <c r="M4" s="41">
        <v>0</v>
      </c>
      <c r="N4" s="41">
        <v>0</v>
      </c>
      <c r="O4" s="41">
        <v>0</v>
      </c>
    </row>
    <row r="5" spans="1:15" ht="15.75" customHeight="1" x14ac:dyDescent="0.25">
      <c r="B5" s="14" t="s">
        <v>137</v>
      </c>
      <c r="C5" s="40">
        <v>0</v>
      </c>
      <c r="D5" s="40">
        <v>0</v>
      </c>
      <c r="E5" s="40">
        <f>food_insecure</f>
        <v>0.6</v>
      </c>
      <c r="F5" s="40">
        <f>food_insecure</f>
        <v>0.6</v>
      </c>
      <c r="G5" s="40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</row>
    <row r="6" spans="1:15" ht="15.75" customHeight="1" x14ac:dyDescent="0.25">
      <c r="B6" s="14" t="s">
        <v>138</v>
      </c>
      <c r="C6" s="40">
        <v>0</v>
      </c>
      <c r="D6" s="40">
        <v>0</v>
      </c>
      <c r="E6" s="40">
        <f>1</f>
        <v>1</v>
      </c>
      <c r="F6" s="40">
        <f>1</f>
        <v>1</v>
      </c>
      <c r="G6" s="40">
        <f>1</f>
        <v>1</v>
      </c>
      <c r="H6" s="41">
        <v>0</v>
      </c>
      <c r="I6" s="41">
        <v>0</v>
      </c>
      <c r="J6" s="41">
        <v>0</v>
      </c>
      <c r="K6" s="41">
        <v>0</v>
      </c>
      <c r="L6" s="41">
        <v>0</v>
      </c>
      <c r="M6" s="41">
        <v>0</v>
      </c>
      <c r="N6" s="41">
        <v>0</v>
      </c>
      <c r="O6" s="41">
        <v>0</v>
      </c>
    </row>
    <row r="7" spans="1:15" ht="15.75" customHeight="1" x14ac:dyDescent="0.25">
      <c r="B7" s="38" t="s">
        <v>84</v>
      </c>
      <c r="C7" s="40">
        <f>diarrhoea_1mo/26</f>
        <v>0.12692307692307692</v>
      </c>
      <c r="D7" s="40">
        <f>diarrhoea_1_5mo/26</f>
        <v>0.12692307692307692</v>
      </c>
      <c r="E7" s="40">
        <f>diarrhoea_6_11mo/26</f>
        <v>0.12692307692307692</v>
      </c>
      <c r="F7" s="40">
        <f>diarrhoea_12_23mo/26</f>
        <v>0.12692307692307692</v>
      </c>
      <c r="G7" s="40">
        <f>diarrhoea_24_59mo/26</f>
        <v>0.12692307692307692</v>
      </c>
      <c r="H7" s="41">
        <v>0</v>
      </c>
      <c r="I7" s="41">
        <v>0</v>
      </c>
      <c r="J7" s="41">
        <v>0</v>
      </c>
      <c r="K7" s="41">
        <v>0</v>
      </c>
      <c r="L7" s="41">
        <v>0</v>
      </c>
      <c r="M7" s="41">
        <v>0</v>
      </c>
      <c r="N7" s="41">
        <v>0</v>
      </c>
      <c r="O7" s="41">
        <v>0</v>
      </c>
    </row>
    <row r="8" spans="1:15" ht="15.75" customHeight="1" x14ac:dyDescent="0.25">
      <c r="B8" s="14" t="s">
        <v>58</v>
      </c>
      <c r="C8" s="40">
        <v>0</v>
      </c>
      <c r="D8" s="40">
        <v>0</v>
      </c>
      <c r="E8" s="40">
        <f>food_insecure</f>
        <v>0.6</v>
      </c>
      <c r="F8" s="40">
        <f>food_insecure</f>
        <v>0.6</v>
      </c>
      <c r="G8" s="40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</row>
    <row r="9" spans="1:15" ht="15.75" customHeight="1" x14ac:dyDescent="0.25">
      <c r="B9" s="14" t="s">
        <v>67</v>
      </c>
      <c r="C9" s="40">
        <v>0</v>
      </c>
      <c r="D9" s="40">
        <f>IF(ISBLANK(comm_deliv), frac_children_health_facility,1)</f>
        <v>0.21199999999999999</v>
      </c>
      <c r="E9" s="40">
        <f>IF(ISBLANK(comm_deliv), frac_children_health_facility,1)</f>
        <v>0.21199999999999999</v>
      </c>
      <c r="F9" s="40">
        <f>IF(ISBLANK(comm_deliv), frac_children_health_facility,1)</f>
        <v>0.21199999999999999</v>
      </c>
      <c r="G9" s="40">
        <f>IF(ISBLANK(comm_deliv), frac_children_health_facility,1)</f>
        <v>0.21199999999999999</v>
      </c>
      <c r="H9" s="41">
        <v>0</v>
      </c>
      <c r="I9" s="41">
        <v>0</v>
      </c>
      <c r="J9" s="41">
        <v>0</v>
      </c>
      <c r="K9" s="41">
        <v>0</v>
      </c>
      <c r="L9" s="41">
        <v>0</v>
      </c>
      <c r="M9" s="41">
        <v>0</v>
      </c>
      <c r="N9" s="41">
        <v>0</v>
      </c>
      <c r="O9" s="41">
        <v>0</v>
      </c>
    </row>
    <row r="10" spans="1:15" ht="15" customHeight="1" x14ac:dyDescent="0.25">
      <c r="B10" s="14" t="s">
        <v>28</v>
      </c>
      <c r="C10" s="40">
        <v>0</v>
      </c>
      <c r="D10" s="40">
        <v>0</v>
      </c>
      <c r="E10" s="40">
        <v>1</v>
      </c>
      <c r="F10" s="40">
        <v>1</v>
      </c>
      <c r="G10" s="40">
        <v>1</v>
      </c>
      <c r="H10" s="41">
        <v>0</v>
      </c>
      <c r="I10" s="41">
        <v>0</v>
      </c>
      <c r="J10" s="41">
        <v>0</v>
      </c>
      <c r="K10" s="41">
        <v>0</v>
      </c>
      <c r="L10" s="41">
        <v>0</v>
      </c>
      <c r="M10" s="41">
        <v>0</v>
      </c>
      <c r="N10" s="41">
        <v>0</v>
      </c>
      <c r="O10" s="41">
        <v>0</v>
      </c>
    </row>
    <row r="11" spans="1:15" ht="15.75" customHeight="1" x14ac:dyDescent="0.25">
      <c r="B11" s="38" t="s">
        <v>85</v>
      </c>
      <c r="C11" s="40">
        <f>diarrhoea_1mo/26</f>
        <v>0.12692307692307692</v>
      </c>
      <c r="D11" s="40">
        <f>diarrhoea_1_5mo/26</f>
        <v>0.12692307692307692</v>
      </c>
      <c r="E11" s="40">
        <f>diarrhoea_6_11mo/26</f>
        <v>0.12692307692307692</v>
      </c>
      <c r="F11" s="40">
        <f>diarrhoea_12_23mo/26</f>
        <v>0.12692307692307692</v>
      </c>
      <c r="G11" s="40">
        <f>diarrhoea_24_59mo/26</f>
        <v>0.12692307692307692</v>
      </c>
      <c r="H11" s="41">
        <v>0</v>
      </c>
      <c r="I11" s="41">
        <v>0</v>
      </c>
      <c r="J11" s="41">
        <v>0</v>
      </c>
      <c r="K11" s="41">
        <v>0</v>
      </c>
      <c r="L11" s="41">
        <v>0</v>
      </c>
      <c r="M11" s="41">
        <v>0</v>
      </c>
      <c r="N11" s="41">
        <v>0</v>
      </c>
      <c r="O11" s="41">
        <v>0</v>
      </c>
    </row>
    <row r="12" spans="1:15" ht="15.75" customHeight="1" x14ac:dyDescent="0.25">
      <c r="B12" s="14" t="s">
        <v>60</v>
      </c>
      <c r="C12" s="40">
        <v>0</v>
      </c>
      <c r="D12" s="40">
        <v>0</v>
      </c>
      <c r="E12" s="40">
        <v>1</v>
      </c>
      <c r="F12" s="40">
        <v>1</v>
      </c>
      <c r="G12" s="40">
        <v>1</v>
      </c>
      <c r="H12" s="41">
        <v>0</v>
      </c>
      <c r="I12" s="41">
        <v>0</v>
      </c>
      <c r="J12" s="41">
        <v>0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</row>
    <row r="13" spans="1:15" ht="15.75" customHeight="1" x14ac:dyDescent="0.25">
      <c r="B13" s="38"/>
    </row>
    <row r="14" spans="1:15" ht="15.75" customHeight="1" x14ac:dyDescent="0.3">
      <c r="A14" s="4" t="s">
        <v>32</v>
      </c>
      <c r="B14" s="38" t="s">
        <v>29</v>
      </c>
      <c r="C14" s="41">
        <v>0</v>
      </c>
      <c r="D14" s="41">
        <v>0</v>
      </c>
      <c r="E14" s="41">
        <v>0</v>
      </c>
      <c r="F14" s="41">
        <v>0</v>
      </c>
      <c r="G14" s="41">
        <v>0</v>
      </c>
      <c r="H14" s="40">
        <f>food_insecure</f>
        <v>0.6</v>
      </c>
      <c r="I14" s="40">
        <f>food_insecure</f>
        <v>0.6</v>
      </c>
      <c r="J14" s="40">
        <f>food_insecure</f>
        <v>0.6</v>
      </c>
      <c r="K14" s="40">
        <f>food_insecure</f>
        <v>0.6</v>
      </c>
      <c r="L14" s="41">
        <v>0</v>
      </c>
      <c r="M14" s="41">
        <v>0</v>
      </c>
      <c r="N14" s="41">
        <v>0</v>
      </c>
      <c r="O14" s="41">
        <v>0</v>
      </c>
    </row>
    <row r="15" spans="1:15" ht="15.75" customHeight="1" x14ac:dyDescent="0.3">
      <c r="A15" s="4"/>
      <c r="B15" s="14" t="s">
        <v>86</v>
      </c>
      <c r="C15" s="41">
        <v>0</v>
      </c>
      <c r="D15" s="41">
        <v>0</v>
      </c>
      <c r="E15" s="41">
        <v>0</v>
      </c>
      <c r="F15" s="41">
        <v>0</v>
      </c>
      <c r="G15" s="41">
        <v>0</v>
      </c>
      <c r="H15" s="40">
        <v>1</v>
      </c>
      <c r="I15" s="40">
        <v>1</v>
      </c>
      <c r="J15" s="40">
        <v>1</v>
      </c>
      <c r="K15" s="40">
        <v>1</v>
      </c>
      <c r="L15" s="41">
        <v>0</v>
      </c>
      <c r="M15" s="41">
        <v>0</v>
      </c>
      <c r="N15" s="41">
        <v>0</v>
      </c>
      <c r="O15" s="41">
        <v>0</v>
      </c>
    </row>
    <row r="16" spans="1:15" ht="15.75" customHeight="1" x14ac:dyDescent="0.3">
      <c r="A16" s="4"/>
      <c r="B16" s="14" t="s">
        <v>186</v>
      </c>
      <c r="C16" s="41">
        <v>0</v>
      </c>
      <c r="D16" s="41">
        <v>0</v>
      </c>
      <c r="E16" s="41">
        <v>0</v>
      </c>
      <c r="F16" s="41">
        <v>0</v>
      </c>
      <c r="G16" s="41">
        <v>0</v>
      </c>
      <c r="H16" s="40">
        <f xml:space="preserve"> 1</f>
        <v>1</v>
      </c>
      <c r="I16" s="40">
        <f xml:space="preserve"> 1</f>
        <v>1</v>
      </c>
      <c r="J16" s="40">
        <f xml:space="preserve"> 1</f>
        <v>1</v>
      </c>
      <c r="K16" s="40">
        <f xml:space="preserve"> 1</f>
        <v>1</v>
      </c>
      <c r="L16" s="41">
        <v>0</v>
      </c>
      <c r="M16" s="41">
        <v>0</v>
      </c>
      <c r="N16" s="41">
        <v>0</v>
      </c>
      <c r="O16" s="41">
        <v>0</v>
      </c>
    </row>
    <row r="17" spans="1:15" ht="15.75" customHeight="1" x14ac:dyDescent="0.3">
      <c r="A17" s="4"/>
      <c r="B17" s="14" t="s">
        <v>191</v>
      </c>
      <c r="C17" s="41">
        <v>0</v>
      </c>
      <c r="D17" s="41">
        <v>0</v>
      </c>
      <c r="E17" s="41">
        <v>0</v>
      </c>
      <c r="F17" s="41">
        <v>0</v>
      </c>
      <c r="G17" s="41">
        <v>0</v>
      </c>
      <c r="H17" s="40">
        <f>frac_PW_health_facility</f>
        <v>0.35699999999999998</v>
      </c>
      <c r="I17" s="40">
        <f>frac_PW_health_facility</f>
        <v>0.35699999999999998</v>
      </c>
      <c r="J17" s="40">
        <f>frac_PW_health_facility</f>
        <v>0.35699999999999998</v>
      </c>
      <c r="K17" s="40">
        <f>frac_PW_health_facility</f>
        <v>0.35699999999999998</v>
      </c>
      <c r="L17" s="41">
        <v>0</v>
      </c>
      <c r="M17" s="41">
        <v>0</v>
      </c>
      <c r="N17" s="41">
        <v>0</v>
      </c>
      <c r="O17" s="41">
        <v>0</v>
      </c>
    </row>
    <row r="18" spans="1:15" ht="15" customHeight="1" x14ac:dyDescent="0.25">
      <c r="B18" s="38" t="s">
        <v>57</v>
      </c>
      <c r="C18" s="41">
        <v>0</v>
      </c>
      <c r="D18" s="41">
        <v>0</v>
      </c>
      <c r="E18" s="41">
        <v>0</v>
      </c>
      <c r="F18" s="41">
        <v>0</v>
      </c>
      <c r="G18" s="41">
        <v>0</v>
      </c>
      <c r="H18" s="40">
        <f>frac_malaria_risk</f>
        <v>0.17960000000000001</v>
      </c>
      <c r="I18" s="40">
        <f>frac_malaria_risk</f>
        <v>0.17960000000000001</v>
      </c>
      <c r="J18" s="40">
        <f>frac_malaria_risk</f>
        <v>0.17960000000000001</v>
      </c>
      <c r="K18" s="40">
        <f>frac_malaria_risk</f>
        <v>0.17960000000000001</v>
      </c>
      <c r="L18" s="41">
        <v>0</v>
      </c>
      <c r="M18" s="41">
        <v>0</v>
      </c>
      <c r="N18" s="41">
        <v>0</v>
      </c>
      <c r="O18" s="41">
        <v>0</v>
      </c>
    </row>
    <row r="19" spans="1:15" ht="15.75" customHeight="1" x14ac:dyDescent="0.25">
      <c r="B19" s="14" t="s">
        <v>88</v>
      </c>
      <c r="C19" s="41">
        <v>0</v>
      </c>
      <c r="D19" s="41">
        <v>0</v>
      </c>
      <c r="E19" s="41">
        <v>0</v>
      </c>
      <c r="F19" s="41">
        <v>0</v>
      </c>
      <c r="G19" s="41">
        <v>0</v>
      </c>
      <c r="H19" s="40">
        <v>1</v>
      </c>
      <c r="I19" s="40">
        <v>1</v>
      </c>
      <c r="J19" s="40">
        <v>1</v>
      </c>
      <c r="K19" s="40">
        <v>1</v>
      </c>
      <c r="L19" s="41">
        <v>0</v>
      </c>
      <c r="M19" s="41">
        <v>0</v>
      </c>
      <c r="N19" s="41">
        <v>0</v>
      </c>
      <c r="O19" s="41">
        <v>0</v>
      </c>
    </row>
    <row r="20" spans="1:15" ht="15.75" customHeight="1" x14ac:dyDescent="0.25">
      <c r="B20" s="14" t="s">
        <v>87</v>
      </c>
      <c r="C20" s="41">
        <v>0</v>
      </c>
      <c r="D20" s="41">
        <v>0</v>
      </c>
      <c r="E20" s="41">
        <v>0</v>
      </c>
      <c r="F20" s="41">
        <v>0</v>
      </c>
      <c r="G20" s="41">
        <v>0</v>
      </c>
      <c r="H20" s="40">
        <v>1</v>
      </c>
      <c r="I20" s="40">
        <v>1</v>
      </c>
      <c r="J20" s="40">
        <v>1</v>
      </c>
      <c r="K20" s="40">
        <v>1</v>
      </c>
      <c r="L20" s="41">
        <v>0</v>
      </c>
      <c r="M20" s="41">
        <v>0</v>
      </c>
      <c r="N20" s="41">
        <v>0</v>
      </c>
      <c r="O20" s="41">
        <v>0</v>
      </c>
    </row>
    <row r="21" spans="1:15" ht="15.75" customHeight="1" x14ac:dyDescent="0.25">
      <c r="B21" s="38" t="s">
        <v>59</v>
      </c>
      <c r="C21" s="41">
        <v>0</v>
      </c>
      <c r="D21" s="41">
        <v>0</v>
      </c>
      <c r="E21" s="41">
        <v>0</v>
      </c>
      <c r="F21" s="41">
        <v>0</v>
      </c>
      <c r="G21" s="41">
        <v>0</v>
      </c>
      <c r="H21" s="40">
        <f>1</f>
        <v>1</v>
      </c>
      <c r="I21" s="40">
        <f>1</f>
        <v>1</v>
      </c>
      <c r="J21" s="40">
        <f>1</f>
        <v>1</v>
      </c>
      <c r="K21" s="40">
        <f>1</f>
        <v>1</v>
      </c>
      <c r="L21" s="41">
        <v>0</v>
      </c>
      <c r="M21" s="41">
        <v>0</v>
      </c>
      <c r="N21" s="41">
        <v>0</v>
      </c>
      <c r="O21" s="41">
        <v>0</v>
      </c>
    </row>
    <row r="22" spans="1:15" ht="15.75" customHeight="1" x14ac:dyDescent="0.25">
      <c r="B22" s="38"/>
    </row>
    <row r="23" spans="1:15" ht="15.75" customHeight="1" x14ac:dyDescent="0.3">
      <c r="A23" s="69" t="s">
        <v>37</v>
      </c>
      <c r="B23" s="70" t="s">
        <v>198</v>
      </c>
      <c r="C23" s="41">
        <v>0</v>
      </c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0">
        <v>1</v>
      </c>
      <c r="M23" s="40">
        <v>1</v>
      </c>
      <c r="N23" s="40">
        <v>1</v>
      </c>
      <c r="O23" s="40">
        <v>1</v>
      </c>
    </row>
    <row r="24" spans="1:15" ht="15.75" customHeight="1" x14ac:dyDescent="0.25">
      <c r="B24" s="70" t="s">
        <v>187</v>
      </c>
      <c r="C24" s="41">
        <v>0</v>
      </c>
      <c r="D24" s="41">
        <v>0</v>
      </c>
      <c r="E24" s="41">
        <v>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40">
        <f>(1-food_insecure)*(0.49)*(1-school_attendance) + food_insecure*(0.7)*(1-school_attendance)</f>
        <v>0.18042640000000004</v>
      </c>
      <c r="M24" s="40">
        <f>(1-food_insecure)*(0.49)+food_insecure*(0.7)</f>
        <v>0.61599999999999999</v>
      </c>
      <c r="N24" s="40">
        <f>(1-food_insecure)*(0.49)+food_insecure*(0.7)</f>
        <v>0.61599999999999999</v>
      </c>
      <c r="O24" s="40">
        <f>(1-food_insecure)*(0.49)+food_insecure*(0.7)</f>
        <v>0.61599999999999999</v>
      </c>
    </row>
    <row r="25" spans="1:15" ht="15.75" customHeight="1" x14ac:dyDescent="0.25">
      <c r="B25" s="70" t="s">
        <v>188</v>
      </c>
      <c r="C25" s="41">
        <v>0</v>
      </c>
      <c r="D25" s="41">
        <v>0</v>
      </c>
      <c r="E25" s="41">
        <v>0</v>
      </c>
      <c r="F25" s="41">
        <v>0</v>
      </c>
      <c r="G25" s="41">
        <v>0</v>
      </c>
      <c r="H25" s="41">
        <v>0</v>
      </c>
      <c r="I25" s="41">
        <v>0</v>
      </c>
      <c r="J25" s="41">
        <v>0</v>
      </c>
      <c r="K25" s="41">
        <v>0</v>
      </c>
      <c r="L25" s="40">
        <f>(1-food_insecure)*(0.21)*(1-school_attendance) + food_insecure*(0.3)*(1-school_attendance)</f>
        <v>7.7325600000000008E-2</v>
      </c>
      <c r="M25" s="40">
        <f>(1-food_insecure)*(0.21)+food_insecure*(0.3)</f>
        <v>0.26400000000000001</v>
      </c>
      <c r="N25" s="40">
        <f>(1-food_insecure)*(0.21)+food_insecure*(0.3)</f>
        <v>0.26400000000000001</v>
      </c>
      <c r="O25" s="40">
        <f>(1-food_insecure)*(0.21)+food_insecure*(0.3)</f>
        <v>0.26400000000000001</v>
      </c>
    </row>
    <row r="26" spans="1:15" ht="15.75" customHeight="1" x14ac:dyDescent="0.25">
      <c r="B26" s="70" t="s">
        <v>189</v>
      </c>
      <c r="C26" s="41">
        <v>0</v>
      </c>
      <c r="D26" s="41">
        <v>0</v>
      </c>
      <c r="E26" s="41">
        <v>0</v>
      </c>
      <c r="F26" s="41">
        <v>0</v>
      </c>
      <c r="G26" s="41">
        <v>0</v>
      </c>
      <c r="H26" s="41">
        <v>0</v>
      </c>
      <c r="I26" s="41">
        <v>0</v>
      </c>
      <c r="J26" s="41">
        <v>0</v>
      </c>
      <c r="K26" s="41">
        <v>0</v>
      </c>
      <c r="L26" s="40">
        <f>(1-food_insecure)*(0.3)*(1-school_attendance)</f>
        <v>3.5148000000000006E-2</v>
      </c>
      <c r="M26" s="40">
        <f>(1-food_insecure)*(0.3)</f>
        <v>0.12</v>
      </c>
      <c r="N26" s="40">
        <f>(1-food_insecure)*(0.3)</f>
        <v>0.12</v>
      </c>
      <c r="O26" s="40">
        <f>(1-food_insecure)*(0.3)</f>
        <v>0.12</v>
      </c>
    </row>
    <row r="27" spans="1:15" ht="15.75" customHeight="1" x14ac:dyDescent="0.25">
      <c r="B27" s="70" t="s">
        <v>190</v>
      </c>
      <c r="C27" s="41">
        <v>0</v>
      </c>
      <c r="D27" s="41">
        <v>0</v>
      </c>
      <c r="E27" s="41">
        <v>0</v>
      </c>
      <c r="F27" s="41">
        <v>0</v>
      </c>
      <c r="G27" s="41">
        <v>0</v>
      </c>
      <c r="H27" s="41">
        <v>0</v>
      </c>
      <c r="I27" s="41">
        <v>0</v>
      </c>
      <c r="J27" s="41">
        <v>0</v>
      </c>
      <c r="K27" s="41">
        <v>0</v>
      </c>
      <c r="L27" s="40">
        <f>(1-food_insecure)*1*school_attendance + food_insecure*1*school_attendance</f>
        <v>0.70709999999999995</v>
      </c>
      <c r="M27" s="40">
        <v>0</v>
      </c>
      <c r="N27" s="40">
        <v>0</v>
      </c>
      <c r="O27" s="40">
        <v>0</v>
      </c>
    </row>
    <row r="28" spans="1:15" ht="15.75" customHeight="1" x14ac:dyDescent="0.2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3">
      <c r="A29" s="4" t="s">
        <v>35</v>
      </c>
      <c r="B29" s="14" t="s">
        <v>63</v>
      </c>
      <c r="C29" s="40">
        <v>0</v>
      </c>
      <c r="D29" s="40">
        <v>0</v>
      </c>
      <c r="E29" s="40">
        <f t="shared" ref="E29:O29" si="0">frac_maize</f>
        <v>0</v>
      </c>
      <c r="F29" s="40">
        <f t="shared" si="0"/>
        <v>0</v>
      </c>
      <c r="G29" s="40">
        <f t="shared" si="0"/>
        <v>0</v>
      </c>
      <c r="H29" s="40">
        <f t="shared" si="0"/>
        <v>0</v>
      </c>
      <c r="I29" s="40">
        <f t="shared" si="0"/>
        <v>0</v>
      </c>
      <c r="J29" s="40">
        <f t="shared" si="0"/>
        <v>0</v>
      </c>
      <c r="K29" s="40">
        <f t="shared" si="0"/>
        <v>0</v>
      </c>
      <c r="L29" s="40">
        <f t="shared" si="0"/>
        <v>0</v>
      </c>
      <c r="M29" s="40">
        <f t="shared" si="0"/>
        <v>0</v>
      </c>
      <c r="N29" s="40">
        <f t="shared" si="0"/>
        <v>0</v>
      </c>
      <c r="O29" s="40">
        <f t="shared" si="0"/>
        <v>0</v>
      </c>
    </row>
    <row r="30" spans="1:15" ht="15.75" customHeight="1" x14ac:dyDescent="0.25">
      <c r="B30" s="14" t="s">
        <v>64</v>
      </c>
      <c r="C30" s="40">
        <v>0</v>
      </c>
      <c r="D30" s="40">
        <v>0</v>
      </c>
      <c r="E30" s="40">
        <f t="shared" ref="E30:O30" si="1">frac_rice</f>
        <v>0</v>
      </c>
      <c r="F30" s="40">
        <f t="shared" si="1"/>
        <v>0</v>
      </c>
      <c r="G30" s="40">
        <f t="shared" si="1"/>
        <v>0</v>
      </c>
      <c r="H30" s="40">
        <f t="shared" si="1"/>
        <v>0</v>
      </c>
      <c r="I30" s="40">
        <f t="shared" si="1"/>
        <v>0</v>
      </c>
      <c r="J30" s="40">
        <f t="shared" si="1"/>
        <v>0</v>
      </c>
      <c r="K30" s="40">
        <f t="shared" si="1"/>
        <v>0</v>
      </c>
      <c r="L30" s="40">
        <f t="shared" si="1"/>
        <v>0</v>
      </c>
      <c r="M30" s="40">
        <f t="shared" si="1"/>
        <v>0</v>
      </c>
      <c r="N30" s="40">
        <f t="shared" si="1"/>
        <v>0</v>
      </c>
      <c r="O30" s="40">
        <f t="shared" si="1"/>
        <v>0</v>
      </c>
    </row>
    <row r="31" spans="1:15" ht="15.75" customHeight="1" x14ac:dyDescent="0.25">
      <c r="B31" s="14" t="s">
        <v>62</v>
      </c>
      <c r="C31" s="40">
        <v>0</v>
      </c>
      <c r="D31" s="40">
        <v>0</v>
      </c>
      <c r="E31" s="40">
        <f t="shared" ref="E31:O31" si="2">frac_wheat</f>
        <v>0</v>
      </c>
      <c r="F31" s="40">
        <f t="shared" si="2"/>
        <v>0</v>
      </c>
      <c r="G31" s="40">
        <f t="shared" si="2"/>
        <v>0</v>
      </c>
      <c r="H31" s="40">
        <f t="shared" si="2"/>
        <v>0</v>
      </c>
      <c r="I31" s="40">
        <f t="shared" si="2"/>
        <v>0</v>
      </c>
      <c r="J31" s="40">
        <f t="shared" si="2"/>
        <v>0</v>
      </c>
      <c r="K31" s="40">
        <f t="shared" si="2"/>
        <v>0</v>
      </c>
      <c r="L31" s="40">
        <f t="shared" si="2"/>
        <v>0</v>
      </c>
      <c r="M31" s="40">
        <f t="shared" si="2"/>
        <v>0</v>
      </c>
      <c r="N31" s="40">
        <f t="shared" si="2"/>
        <v>0</v>
      </c>
      <c r="O31" s="40">
        <f t="shared" si="2"/>
        <v>0</v>
      </c>
    </row>
    <row r="32" spans="1:15" ht="15.75" customHeight="1" x14ac:dyDescent="0.25">
      <c r="B32" s="14" t="s">
        <v>47</v>
      </c>
      <c r="C32" s="40">
        <v>0</v>
      </c>
      <c r="D32" s="40">
        <v>0</v>
      </c>
      <c r="E32" s="40">
        <v>1</v>
      </c>
      <c r="F32" s="40">
        <v>1</v>
      </c>
      <c r="G32" s="40">
        <v>1</v>
      </c>
      <c r="H32" s="40">
        <v>1</v>
      </c>
      <c r="I32" s="40">
        <v>1</v>
      </c>
      <c r="J32" s="40">
        <v>1</v>
      </c>
      <c r="K32" s="40">
        <v>1</v>
      </c>
      <c r="L32" s="40">
        <v>1</v>
      </c>
      <c r="M32" s="40">
        <v>1</v>
      </c>
      <c r="N32" s="40">
        <v>1</v>
      </c>
      <c r="O32" s="40">
        <v>1</v>
      </c>
    </row>
    <row r="33" spans="1:15" ht="15.75" customHeight="1" x14ac:dyDescent="0.25">
      <c r="B33" s="14" t="s">
        <v>34</v>
      </c>
      <c r="C33" s="40">
        <f t="shared" ref="C33:O33" si="3">frac_malaria_risk</f>
        <v>0.17960000000000001</v>
      </c>
      <c r="D33" s="40">
        <f t="shared" si="3"/>
        <v>0.17960000000000001</v>
      </c>
      <c r="E33" s="40">
        <f t="shared" si="3"/>
        <v>0.17960000000000001</v>
      </c>
      <c r="F33" s="40">
        <f t="shared" si="3"/>
        <v>0.17960000000000001</v>
      </c>
      <c r="G33" s="40">
        <f t="shared" si="3"/>
        <v>0.17960000000000001</v>
      </c>
      <c r="H33" s="40">
        <f t="shared" si="3"/>
        <v>0.17960000000000001</v>
      </c>
      <c r="I33" s="40">
        <f t="shared" si="3"/>
        <v>0.17960000000000001</v>
      </c>
      <c r="J33" s="40">
        <f t="shared" si="3"/>
        <v>0.17960000000000001</v>
      </c>
      <c r="K33" s="40">
        <f t="shared" si="3"/>
        <v>0.17960000000000001</v>
      </c>
      <c r="L33" s="40">
        <f t="shared" si="3"/>
        <v>0.17960000000000001</v>
      </c>
      <c r="M33" s="40">
        <f t="shared" si="3"/>
        <v>0.17960000000000001</v>
      </c>
      <c r="N33" s="40">
        <f t="shared" si="3"/>
        <v>0.17960000000000001</v>
      </c>
      <c r="O33" s="40">
        <f t="shared" si="3"/>
        <v>0.17960000000000001</v>
      </c>
    </row>
    <row r="34" spans="1:15" ht="15.75" customHeight="1" x14ac:dyDescent="0.25">
      <c r="B34" s="38" t="s">
        <v>83</v>
      </c>
      <c r="C34" s="40">
        <v>1</v>
      </c>
      <c r="D34" s="40">
        <v>1</v>
      </c>
      <c r="E34" s="40">
        <v>1</v>
      </c>
      <c r="F34" s="40">
        <v>1</v>
      </c>
      <c r="G34" s="40">
        <v>1</v>
      </c>
      <c r="H34" s="40">
        <v>1</v>
      </c>
      <c r="I34" s="40">
        <v>1</v>
      </c>
      <c r="J34" s="40">
        <v>1</v>
      </c>
      <c r="K34" s="40">
        <v>1</v>
      </c>
      <c r="L34" s="40">
        <v>1</v>
      </c>
      <c r="M34" s="40">
        <v>1</v>
      </c>
      <c r="N34" s="40">
        <v>1</v>
      </c>
      <c r="O34" s="40">
        <v>1</v>
      </c>
    </row>
    <row r="35" spans="1:15" ht="15.75" customHeight="1" x14ac:dyDescent="0.25">
      <c r="A35" s="5"/>
      <c r="B35" s="38" t="s">
        <v>82</v>
      </c>
      <c r="C35" s="40">
        <v>1</v>
      </c>
      <c r="D35" s="40">
        <v>1</v>
      </c>
      <c r="E35" s="40">
        <v>1</v>
      </c>
      <c r="F35" s="40">
        <v>1</v>
      </c>
      <c r="G35" s="40">
        <v>1</v>
      </c>
      <c r="H35" s="40">
        <v>1</v>
      </c>
      <c r="I35" s="40">
        <v>1</v>
      </c>
      <c r="J35" s="40">
        <v>1</v>
      </c>
      <c r="K35" s="40">
        <v>1</v>
      </c>
      <c r="L35" s="40">
        <v>1</v>
      </c>
      <c r="M35" s="40">
        <v>1</v>
      </c>
      <c r="N35" s="40">
        <v>1</v>
      </c>
      <c r="O35" s="40">
        <v>1</v>
      </c>
    </row>
    <row r="36" spans="1:15" s="5" customFormat="1" ht="15.75" customHeight="1" x14ac:dyDescent="0.25">
      <c r="B36" s="38" t="s">
        <v>81</v>
      </c>
      <c r="C36" s="40">
        <v>1</v>
      </c>
      <c r="D36" s="40">
        <v>1</v>
      </c>
      <c r="E36" s="40">
        <v>1</v>
      </c>
      <c r="F36" s="40">
        <v>1</v>
      </c>
      <c r="G36" s="40">
        <v>1</v>
      </c>
      <c r="H36" s="40">
        <v>1</v>
      </c>
      <c r="I36" s="40">
        <v>1</v>
      </c>
      <c r="J36" s="40">
        <v>1</v>
      </c>
      <c r="K36" s="40">
        <v>1</v>
      </c>
      <c r="L36" s="40">
        <v>1</v>
      </c>
      <c r="M36" s="40">
        <v>1</v>
      </c>
      <c r="N36" s="40">
        <v>1</v>
      </c>
      <c r="O36" s="40">
        <v>1</v>
      </c>
    </row>
    <row r="37" spans="1:15" s="5" customFormat="1" ht="15.75" customHeight="1" x14ac:dyDescent="0.25">
      <c r="B37" s="38" t="s">
        <v>79</v>
      </c>
      <c r="C37" s="40">
        <v>1</v>
      </c>
      <c r="D37" s="40">
        <v>1</v>
      </c>
      <c r="E37" s="40">
        <v>1</v>
      </c>
      <c r="F37" s="40">
        <v>1</v>
      </c>
      <c r="G37" s="40">
        <v>1</v>
      </c>
      <c r="H37" s="40">
        <v>1</v>
      </c>
      <c r="I37" s="40">
        <v>1</v>
      </c>
      <c r="J37" s="40">
        <v>1</v>
      </c>
      <c r="K37" s="40">
        <v>1</v>
      </c>
      <c r="L37" s="40">
        <v>1</v>
      </c>
      <c r="M37" s="40">
        <v>1</v>
      </c>
      <c r="N37" s="40">
        <v>1</v>
      </c>
      <c r="O37" s="40">
        <v>1</v>
      </c>
    </row>
    <row r="38" spans="1:15" s="5" customFormat="1" ht="15.75" customHeight="1" x14ac:dyDescent="0.25">
      <c r="B38" s="38" t="s">
        <v>80</v>
      </c>
      <c r="C38" s="40">
        <v>1</v>
      </c>
      <c r="D38" s="40">
        <v>1</v>
      </c>
      <c r="E38" s="40">
        <v>1</v>
      </c>
      <c r="F38" s="40">
        <v>1</v>
      </c>
      <c r="G38" s="40">
        <v>1</v>
      </c>
      <c r="H38" s="40">
        <v>1</v>
      </c>
      <c r="I38" s="40">
        <v>1</v>
      </c>
      <c r="J38" s="40">
        <v>1</v>
      </c>
      <c r="K38" s="40">
        <v>1</v>
      </c>
      <c r="L38" s="40">
        <v>1</v>
      </c>
      <c r="M38" s="40">
        <v>1</v>
      </c>
      <c r="N38" s="40">
        <v>1</v>
      </c>
      <c r="O38" s="40">
        <v>1</v>
      </c>
    </row>
    <row r="39" spans="1:15" ht="15.75" customHeight="1" x14ac:dyDescent="0.25">
      <c r="B39" s="38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E2" sqref="E2:E10"/>
    </sheetView>
  </sheetViews>
  <sheetFormatPr defaultColWidth="11.36328125" defaultRowHeight="12.5" x14ac:dyDescent="0.25"/>
  <cols>
    <col min="1" max="1" width="33.54296875" style="42" customWidth="1"/>
    <col min="2" max="2" width="12.36328125" style="42" customWidth="1"/>
    <col min="3" max="4" width="11.36328125" style="42"/>
    <col min="5" max="5" width="17.36328125" style="42" customWidth="1"/>
    <col min="6" max="16384" width="11.36328125" style="42"/>
  </cols>
  <sheetData>
    <row r="1" spans="1:5" ht="13" x14ac:dyDescent="0.3">
      <c r="A1" s="47" t="s">
        <v>164</v>
      </c>
      <c r="B1" s="47" t="s">
        <v>163</v>
      </c>
      <c r="C1" s="47" t="s">
        <v>162</v>
      </c>
      <c r="D1" s="47" t="s">
        <v>161</v>
      </c>
      <c r="E1" s="47" t="s">
        <v>160</v>
      </c>
    </row>
    <row r="2" spans="1:5" ht="14" x14ac:dyDescent="0.3">
      <c r="A2" s="46" t="s">
        <v>159</v>
      </c>
      <c r="B2" s="45">
        <v>0.9</v>
      </c>
      <c r="C2" s="44">
        <v>0.09</v>
      </c>
      <c r="D2" s="42">
        <v>0.8</v>
      </c>
      <c r="E2" s="42">
        <f t="shared" ref="E2:E10" si="0">C2*D2</f>
        <v>7.1999999999999995E-2</v>
      </c>
    </row>
    <row r="3" spans="1:5" ht="14" x14ac:dyDescent="0.3">
      <c r="A3" s="46" t="s">
        <v>158</v>
      </c>
      <c r="B3" s="45">
        <v>1</v>
      </c>
      <c r="C3" s="44">
        <v>0.02</v>
      </c>
      <c r="D3" s="42">
        <v>1.9</v>
      </c>
      <c r="E3" s="42">
        <f t="shared" si="0"/>
        <v>3.7999999999999999E-2</v>
      </c>
    </row>
    <row r="4" spans="1:5" ht="14" x14ac:dyDescent="0.3">
      <c r="A4" s="46" t="s">
        <v>157</v>
      </c>
      <c r="B4" s="45">
        <v>1</v>
      </c>
      <c r="C4" s="44">
        <v>0.08</v>
      </c>
      <c r="D4" s="42">
        <v>2</v>
      </c>
      <c r="E4" s="42">
        <f t="shared" si="0"/>
        <v>0.16</v>
      </c>
    </row>
    <row r="5" spans="1:5" ht="14" x14ac:dyDescent="0.3">
      <c r="A5" s="46" t="s">
        <v>156</v>
      </c>
      <c r="B5" s="45">
        <v>1</v>
      </c>
      <c r="C5" s="44">
        <v>0.18</v>
      </c>
      <c r="D5" s="42">
        <v>0.7</v>
      </c>
      <c r="E5" s="42">
        <f t="shared" si="0"/>
        <v>0.126</v>
      </c>
    </row>
    <row r="6" spans="1:5" ht="14" x14ac:dyDescent="0.3">
      <c r="A6" s="46" t="s">
        <v>155</v>
      </c>
      <c r="B6" s="45">
        <v>1</v>
      </c>
      <c r="C6" s="44">
        <v>0.02</v>
      </c>
      <c r="D6" s="42">
        <v>0.7</v>
      </c>
      <c r="E6" s="42">
        <f t="shared" si="0"/>
        <v>1.3999999999999999E-2</v>
      </c>
    </row>
    <row r="7" spans="1:5" ht="14" x14ac:dyDescent="0.3">
      <c r="A7" s="46" t="s">
        <v>154</v>
      </c>
      <c r="B7" s="45">
        <v>0.93</v>
      </c>
      <c r="C7" s="44">
        <v>0.45</v>
      </c>
      <c r="D7" s="42">
        <v>0.9</v>
      </c>
      <c r="E7" s="42">
        <f t="shared" si="0"/>
        <v>0.40500000000000003</v>
      </c>
    </row>
    <row r="8" spans="1:5" ht="14" x14ac:dyDescent="0.3">
      <c r="A8" s="46" t="s">
        <v>153</v>
      </c>
      <c r="B8" s="45">
        <v>0.5</v>
      </c>
      <c r="C8" s="44">
        <v>0.03</v>
      </c>
      <c r="D8" s="42">
        <v>0</v>
      </c>
      <c r="E8" s="42">
        <f t="shared" si="0"/>
        <v>0</v>
      </c>
    </row>
    <row r="9" spans="1:5" ht="14" x14ac:dyDescent="0.3">
      <c r="A9" s="46" t="s">
        <v>152</v>
      </c>
      <c r="B9" s="45">
        <v>0.5</v>
      </c>
      <c r="C9" s="44">
        <v>0.11</v>
      </c>
      <c r="D9" s="42">
        <v>0</v>
      </c>
      <c r="E9" s="42">
        <f t="shared" si="0"/>
        <v>0</v>
      </c>
    </row>
    <row r="10" spans="1:5" ht="14" x14ac:dyDescent="0.3">
      <c r="A10" s="46" t="s">
        <v>151</v>
      </c>
      <c r="B10" s="45">
        <v>0.98</v>
      </c>
      <c r="C10" s="44">
        <v>0.01</v>
      </c>
      <c r="D10" s="42">
        <v>0.6</v>
      </c>
      <c r="E10" s="42">
        <f t="shared" si="0"/>
        <v>6.0000000000000001E-3</v>
      </c>
    </row>
    <row r="11" spans="1:5" x14ac:dyDescent="0.25">
      <c r="C11" s="43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J40"/>
  <sheetViews>
    <sheetView zoomScaleNormal="100" workbookViewId="0">
      <selection sqref="A1:G17"/>
    </sheetView>
  </sheetViews>
  <sheetFormatPr defaultColWidth="14.36328125" defaultRowHeight="15.75" customHeight="1" x14ac:dyDescent="0.25"/>
  <cols>
    <col min="1" max="1" width="8.36328125" style="15" customWidth="1"/>
    <col min="2" max="10" width="16.81640625" style="15" customWidth="1"/>
    <col min="11" max="16384" width="14.36328125" style="15"/>
  </cols>
  <sheetData>
    <row r="1" spans="1:10" s="23" customFormat="1" ht="30" customHeight="1" x14ac:dyDescent="0.3">
      <c r="A1" s="35" t="s">
        <v>0</v>
      </c>
      <c r="B1" s="29" t="s">
        <v>112</v>
      </c>
      <c r="C1" s="26" t="s">
        <v>113</v>
      </c>
      <c r="D1" s="26" t="s">
        <v>49</v>
      </c>
      <c r="E1" s="26" t="s">
        <v>50</v>
      </c>
      <c r="F1" s="26" t="s">
        <v>51</v>
      </c>
      <c r="G1" s="26" t="s">
        <v>52</v>
      </c>
      <c r="H1" s="26" t="s">
        <v>114</v>
      </c>
      <c r="I1" s="26" t="s">
        <v>131</v>
      </c>
      <c r="J1" s="26" t="s">
        <v>36</v>
      </c>
    </row>
    <row r="2" spans="1:10" ht="15.75" customHeight="1" x14ac:dyDescent="0.25">
      <c r="A2" s="9">
        <v>2015</v>
      </c>
      <c r="B2" s="80">
        <v>66240</v>
      </c>
      <c r="C2" s="81">
        <v>291000</v>
      </c>
      <c r="D2" s="81">
        <v>87000</v>
      </c>
      <c r="E2" s="81">
        <v>127000</v>
      </c>
      <c r="F2" s="81">
        <v>95000</v>
      </c>
      <c r="G2" s="81">
        <v>57000</v>
      </c>
      <c r="H2" s="25">
        <f t="shared" ref="H2:H40" si="0">D2+E2+F2+G2</f>
        <v>366000</v>
      </c>
      <c r="I2" s="25">
        <f>(B2 + stillbirth*B2/(1000-stillbirth))/(1-abortion)</f>
        <v>78272.419925860973</v>
      </c>
      <c r="J2" s="25">
        <f>H2-I2</f>
        <v>287727.58007413906</v>
      </c>
    </row>
    <row r="3" spans="1:10" ht="15.75" customHeight="1" x14ac:dyDescent="0.25">
      <c r="A3" s="9">
        <v>2016</v>
      </c>
      <c r="B3" s="80">
        <v>67993.578766747974</v>
      </c>
      <c r="C3" s="81">
        <v>298306.07041541772</v>
      </c>
      <c r="D3" s="81">
        <v>90359.709618004272</v>
      </c>
      <c r="E3" s="81">
        <v>131153.20115869847</v>
      </c>
      <c r="F3" s="81">
        <v>98227.217945996061</v>
      </c>
      <c r="G3" s="81">
        <v>58781.989662102045</v>
      </c>
      <c r="H3" s="25">
        <f t="shared" si="0"/>
        <v>378522.11838480085</v>
      </c>
      <c r="I3" s="25">
        <f t="shared" ref="I3:I40" si="1">(B3 + stillbirth*B3/(1000-stillbirth))/(1-abortion)</f>
        <v>80344.534261669731</v>
      </c>
      <c r="J3" s="25">
        <f t="shared" ref="J3:J15" si="2">H3-I3</f>
        <v>298177.58412313112</v>
      </c>
    </row>
    <row r="4" spans="1:10" ht="15.75" customHeight="1" x14ac:dyDescent="0.25">
      <c r="A4" s="9">
        <v>2017</v>
      </c>
      <c r="B4" s="80">
        <v>69793.580216032031</v>
      </c>
      <c r="C4" s="81">
        <v>305795.57266903151</v>
      </c>
      <c r="D4" s="81">
        <v>93849.162324713252</v>
      </c>
      <c r="E4" s="81">
        <v>135442.22184388997</v>
      </c>
      <c r="F4" s="81">
        <v>101564.06679379169</v>
      </c>
      <c r="G4" s="81">
        <v>60619.689625183717</v>
      </c>
      <c r="H4" s="25">
        <f t="shared" si="0"/>
        <v>391475.14058757864</v>
      </c>
      <c r="I4" s="25">
        <f t="shared" si="1"/>
        <v>82471.503906982543</v>
      </c>
      <c r="J4" s="25">
        <f t="shared" si="2"/>
        <v>309003.6366805961</v>
      </c>
    </row>
    <row r="5" spans="1:10" ht="15.75" customHeight="1" x14ac:dyDescent="0.25">
      <c r="A5" s="9">
        <v>2018</v>
      </c>
      <c r="B5" s="80">
        <v>71641.233300605643</v>
      </c>
      <c r="C5" s="81">
        <v>313473.11214203131</v>
      </c>
      <c r="D5" s="81">
        <v>97473.368454644093</v>
      </c>
      <c r="E5" s="81">
        <v>139871.50367616353</v>
      </c>
      <c r="F5" s="81">
        <v>105014.27078353133</v>
      </c>
      <c r="G5" s="81">
        <v>62514.841559076907</v>
      </c>
      <c r="H5" s="25">
        <f t="shared" si="0"/>
        <v>404873.98447341588</v>
      </c>
      <c r="I5" s="25">
        <f t="shared" si="1"/>
        <v>84654.781052409133</v>
      </c>
      <c r="J5" s="25">
        <f t="shared" si="2"/>
        <v>320219.20342100674</v>
      </c>
    </row>
    <row r="6" spans="1:10" ht="15.75" customHeight="1" x14ac:dyDescent="0.25">
      <c r="A6" s="9">
        <v>2019</v>
      </c>
      <c r="B6" s="80">
        <v>73436.289083969343</v>
      </c>
      <c r="C6" s="81">
        <v>321239.68278505927</v>
      </c>
      <c r="D6" s="81">
        <v>101261.51937131472</v>
      </c>
      <c r="E6" s="81">
        <v>144522.13982877007</v>
      </c>
      <c r="F6" s="81">
        <v>108606.37021439058</v>
      </c>
      <c r="G6" s="81">
        <v>64570.542405841596</v>
      </c>
      <c r="H6" s="25">
        <f t="shared" si="0"/>
        <v>418960.57182031695</v>
      </c>
      <c r="I6" s="25">
        <f t="shared" si="1"/>
        <v>86775.906657267056</v>
      </c>
      <c r="J6" s="25">
        <f t="shared" si="2"/>
        <v>332184.66516304988</v>
      </c>
    </row>
    <row r="7" spans="1:10" ht="15.75" customHeight="1" x14ac:dyDescent="0.25">
      <c r="A7" s="9">
        <v>2020</v>
      </c>
      <c r="B7" s="80">
        <v>75199.241654004931</v>
      </c>
      <c r="C7" s="81">
        <v>329139.06939256878</v>
      </c>
      <c r="D7" s="81">
        <v>105202.15874627228</v>
      </c>
      <c r="E7" s="81">
        <v>149437.44199924613</v>
      </c>
      <c r="F7" s="81">
        <v>112319.00943126739</v>
      </c>
      <c r="G7" s="81">
        <v>66952.6543241131</v>
      </c>
      <c r="H7" s="25">
        <f t="shared" si="0"/>
        <v>433911.26450089889</v>
      </c>
      <c r="I7" s="25">
        <f t="shared" si="1"/>
        <v>88859.097536965142</v>
      </c>
      <c r="J7" s="25">
        <f t="shared" si="2"/>
        <v>345052.16696393373</v>
      </c>
    </row>
    <row r="8" spans="1:10" ht="15.75" customHeight="1" x14ac:dyDescent="0.25">
      <c r="A8" s="9">
        <v>2021</v>
      </c>
      <c r="B8" s="80">
        <v>77101.734235497395</v>
      </c>
      <c r="C8" s="81">
        <v>337058.04118710605</v>
      </c>
      <c r="D8" s="81">
        <v>109272.9816256921</v>
      </c>
      <c r="E8" s="81">
        <v>154645.7162576353</v>
      </c>
      <c r="F8" s="81">
        <v>116143.42064903906</v>
      </c>
      <c r="G8" s="81">
        <v>69232.299388718529</v>
      </c>
      <c r="H8" s="25">
        <f t="shared" si="0"/>
        <v>449294.41792108503</v>
      </c>
      <c r="I8" s="25">
        <f t="shared" si="1"/>
        <v>91107.175710944823</v>
      </c>
      <c r="J8" s="25">
        <f t="shared" si="2"/>
        <v>358187.24221014022</v>
      </c>
    </row>
    <row r="9" spans="1:10" ht="15.75" customHeight="1" x14ac:dyDescent="0.25">
      <c r="A9" s="9">
        <v>2022</v>
      </c>
      <c r="B9" s="80">
        <v>78980.987610997108</v>
      </c>
      <c r="C9" s="81">
        <v>345568.72365880758</v>
      </c>
      <c r="D9" s="81">
        <v>113462.39663599221</v>
      </c>
      <c r="E9" s="81">
        <v>160147.34627054955</v>
      </c>
      <c r="F9" s="81">
        <v>120076.79633546159</v>
      </c>
      <c r="G9" s="81">
        <v>71614.26988980241</v>
      </c>
      <c r="H9" s="25">
        <f t="shared" si="0"/>
        <v>465300.80913180579</v>
      </c>
      <c r="I9" s="25">
        <f t="shared" si="1"/>
        <v>93327.793303852508</v>
      </c>
      <c r="J9" s="25">
        <f t="shared" si="2"/>
        <v>371973.01582795329</v>
      </c>
    </row>
    <row r="10" spans="1:10" ht="15.75" customHeight="1" x14ac:dyDescent="0.25">
      <c r="A10" s="9">
        <v>2023</v>
      </c>
      <c r="B10" s="80">
        <v>80898.609774749944</v>
      </c>
      <c r="C10" s="81">
        <v>354081.84905895498</v>
      </c>
      <c r="D10" s="81">
        <v>117739.02829217599</v>
      </c>
      <c r="E10" s="81">
        <v>165969.46579338456</v>
      </c>
      <c r="F10" s="81">
        <v>124105.78920609623</v>
      </c>
      <c r="G10" s="81">
        <v>74102.626520895254</v>
      </c>
      <c r="H10" s="25">
        <f t="shared" si="0"/>
        <v>481916.90981255204</v>
      </c>
      <c r="I10" s="25">
        <f t="shared" si="1"/>
        <v>95593.749331334388</v>
      </c>
      <c r="J10" s="25">
        <f t="shared" si="2"/>
        <v>386323.16048121767</v>
      </c>
    </row>
    <row r="11" spans="1:10" ht="15.75" customHeight="1" x14ac:dyDescent="0.25">
      <c r="A11" s="9">
        <v>2024</v>
      </c>
      <c r="B11" s="80">
        <v>82975.218282837261</v>
      </c>
      <c r="C11" s="81">
        <v>362852.83912839135</v>
      </c>
      <c r="D11" s="81">
        <v>122070.51077830006</v>
      </c>
      <c r="E11" s="81">
        <v>172141.44663677289</v>
      </c>
      <c r="F11" s="81">
        <v>128230.30721070546</v>
      </c>
      <c r="G11" s="81">
        <v>76697.328877086315</v>
      </c>
      <c r="H11" s="25">
        <f t="shared" si="0"/>
        <v>499139.59350286471</v>
      </c>
      <c r="I11" s="25">
        <f t="shared" si="1"/>
        <v>98047.571390009311</v>
      </c>
      <c r="J11" s="25">
        <f t="shared" si="2"/>
        <v>401092.0221128554</v>
      </c>
    </row>
    <row r="12" spans="1:10" ht="15.75" customHeight="1" x14ac:dyDescent="0.25">
      <c r="A12" s="9">
        <v>2025</v>
      </c>
      <c r="B12" s="80">
        <v>85130.555101938779</v>
      </c>
      <c r="C12" s="81">
        <v>371980.20443470409</v>
      </c>
      <c r="D12" s="81">
        <v>126437.17252055732</v>
      </c>
      <c r="E12" s="81">
        <v>178679.57331691426</v>
      </c>
      <c r="F12" s="81">
        <v>132475.73320228231</v>
      </c>
      <c r="G12" s="81">
        <v>79387.306012829664</v>
      </c>
      <c r="H12" s="25">
        <f t="shared" si="0"/>
        <v>516979.78505258355</v>
      </c>
      <c r="I12" s="25">
        <f t="shared" si="1"/>
        <v>100594.42266697765</v>
      </c>
      <c r="J12" s="25">
        <f t="shared" si="2"/>
        <v>416385.36238560593</v>
      </c>
    </row>
    <row r="13" spans="1:10" ht="15.75" customHeight="1" x14ac:dyDescent="0.25">
      <c r="A13" s="9">
        <v>2026</v>
      </c>
      <c r="B13" s="80">
        <v>87228.370171310729</v>
      </c>
      <c r="C13" s="81">
        <v>381248.7584773514</v>
      </c>
      <c r="D13" s="81">
        <v>130803.09151460449</v>
      </c>
      <c r="E13" s="81">
        <v>185546.67280206477</v>
      </c>
      <c r="F13" s="81">
        <v>136848.671785368</v>
      </c>
      <c r="G13" s="81">
        <v>82163.971884590574</v>
      </c>
      <c r="H13" s="25">
        <f t="shared" si="0"/>
        <v>535362.40798662789</v>
      </c>
      <c r="I13" s="25">
        <f t="shared" si="1"/>
        <v>103073.30343443963</v>
      </c>
      <c r="J13" s="25">
        <f t="shared" si="2"/>
        <v>432289.10455218825</v>
      </c>
    </row>
    <row r="14" spans="1:10" ht="15.75" customHeight="1" x14ac:dyDescent="0.25">
      <c r="A14" s="9">
        <v>2027</v>
      </c>
      <c r="B14" s="80">
        <v>89583.388139109127</v>
      </c>
      <c r="C14" s="81">
        <v>390954.07471855631</v>
      </c>
      <c r="D14" s="81">
        <v>135154.65070992292</v>
      </c>
      <c r="E14" s="81">
        <v>192710.26131907201</v>
      </c>
      <c r="F14" s="81">
        <v>141380.9953546999</v>
      </c>
      <c r="G14" s="81">
        <v>85041.225781667599</v>
      </c>
      <c r="H14" s="25">
        <f t="shared" si="0"/>
        <v>554287.13316536241</v>
      </c>
      <c r="I14" s="25">
        <f t="shared" si="1"/>
        <v>105856.10771143937</v>
      </c>
      <c r="J14" s="25">
        <f t="shared" si="2"/>
        <v>448431.02545392304</v>
      </c>
    </row>
    <row r="15" spans="1:10" ht="15.75" customHeight="1" x14ac:dyDescent="0.25">
      <c r="A15" s="9">
        <v>2028</v>
      </c>
      <c r="B15" s="80">
        <v>91774.306718152628</v>
      </c>
      <c r="C15" s="81">
        <v>400908.15206663636</v>
      </c>
      <c r="D15" s="81">
        <v>139480.25873293067</v>
      </c>
      <c r="E15" s="81">
        <v>200120.44089355951</v>
      </c>
      <c r="F15" s="81">
        <v>146108.71856570328</v>
      </c>
      <c r="G15" s="81">
        <v>88026.94666165729</v>
      </c>
      <c r="H15" s="25">
        <f t="shared" si="0"/>
        <v>573736.3648538508</v>
      </c>
      <c r="I15" s="25">
        <f t="shared" si="1"/>
        <v>108445.00413417886</v>
      </c>
      <c r="J15" s="25">
        <f t="shared" si="2"/>
        <v>465291.36071967194</v>
      </c>
    </row>
    <row r="16" spans="1:10" ht="15.75" customHeight="1" x14ac:dyDescent="0.25">
      <c r="A16" s="9">
        <v>2029</v>
      </c>
      <c r="B16" s="8">
        <v>94078.718119249053</v>
      </c>
      <c r="C16" s="24">
        <v>411083.05344244104</v>
      </c>
      <c r="D16" s="24">
        <v>143766.09596541547</v>
      </c>
      <c r="E16" s="24">
        <v>207736.32971653368</v>
      </c>
      <c r="F16" s="24">
        <v>151070.6636060474</v>
      </c>
      <c r="G16" s="24">
        <v>91126.225543314387</v>
      </c>
      <c r="H16" s="25">
        <f t="shared" si="0"/>
        <v>593699.31483131088</v>
      </c>
      <c r="I16" s="25">
        <f t="shared" si="1"/>
        <v>111168.00921975497</v>
      </c>
      <c r="J16" s="25">
        <f t="shared" ref="J16:J40" si="3">H16-I16</f>
        <v>482531.30561155593</v>
      </c>
    </row>
    <row r="17" spans="1:10" ht="15.75" customHeight="1" x14ac:dyDescent="0.25">
      <c r="A17" s="9">
        <v>2030</v>
      </c>
      <c r="B17" s="8">
        <v>97345.55535698634</v>
      </c>
      <c r="C17" s="24">
        <v>422316.72418264276</v>
      </c>
      <c r="D17" s="24">
        <v>147954.18303194598</v>
      </c>
      <c r="E17" s="24">
        <v>215530.64482891638</v>
      </c>
      <c r="F17" s="24">
        <v>156314.55852388052</v>
      </c>
      <c r="G17" s="24">
        <v>94330.435978193389</v>
      </c>
      <c r="H17" s="25">
        <f t="shared" si="0"/>
        <v>614129.82236293633</v>
      </c>
      <c r="I17" s="25">
        <f t="shared" si="1"/>
        <v>115028.263689888</v>
      </c>
      <c r="J17" s="25">
        <f t="shared" si="3"/>
        <v>499101.55867304833</v>
      </c>
    </row>
    <row r="18" spans="1:10" ht="15.75" customHeight="1" x14ac:dyDescent="0.25">
      <c r="A18" s="9" t="str">
        <f t="shared" ref="A3:A40" si="4">IF($A$2+ROW(A18)-2&lt;=end_year,A17+1,"")</f>
        <v/>
      </c>
      <c r="B18" s="8"/>
      <c r="C18" s="24"/>
      <c r="D18" s="24"/>
      <c r="E18" s="24"/>
      <c r="F18" s="24"/>
      <c r="G18" s="24"/>
      <c r="H18" s="25">
        <f t="shared" si="0"/>
        <v>0</v>
      </c>
      <c r="I18" s="25">
        <f t="shared" si="1"/>
        <v>0</v>
      </c>
      <c r="J18" s="25">
        <f t="shared" si="3"/>
        <v>0</v>
      </c>
    </row>
    <row r="19" spans="1:10" ht="15.75" customHeight="1" x14ac:dyDescent="0.25">
      <c r="A19" s="9" t="str">
        <f t="shared" si="4"/>
        <v/>
      </c>
      <c r="B19" s="8"/>
      <c r="C19" s="24"/>
      <c r="D19" s="24"/>
      <c r="E19" s="24"/>
      <c r="F19" s="24"/>
      <c r="G19" s="24"/>
      <c r="H19" s="25">
        <f t="shared" si="0"/>
        <v>0</v>
      </c>
      <c r="I19" s="25">
        <f t="shared" si="1"/>
        <v>0</v>
      </c>
      <c r="J19" s="25">
        <f t="shared" si="3"/>
        <v>0</v>
      </c>
    </row>
    <row r="20" spans="1:10" ht="15.75" customHeight="1" x14ac:dyDescent="0.25">
      <c r="A20" s="9" t="str">
        <f t="shared" si="4"/>
        <v/>
      </c>
      <c r="B20" s="8"/>
      <c r="C20" s="24"/>
      <c r="D20" s="24"/>
      <c r="E20" s="24"/>
      <c r="F20" s="24"/>
      <c r="G20" s="24"/>
      <c r="H20" s="25">
        <f t="shared" si="0"/>
        <v>0</v>
      </c>
      <c r="I20" s="25">
        <f t="shared" si="1"/>
        <v>0</v>
      </c>
      <c r="J20" s="25">
        <f t="shared" si="3"/>
        <v>0</v>
      </c>
    </row>
    <row r="21" spans="1:10" ht="15.75" customHeight="1" x14ac:dyDescent="0.25">
      <c r="A21" s="9" t="str">
        <f t="shared" si="4"/>
        <v/>
      </c>
      <c r="B21" s="8"/>
      <c r="C21" s="24"/>
      <c r="D21" s="24"/>
      <c r="E21" s="24"/>
      <c r="F21" s="24"/>
      <c r="G21" s="24"/>
      <c r="H21" s="25">
        <f t="shared" si="0"/>
        <v>0</v>
      </c>
      <c r="I21" s="25">
        <f t="shared" si="1"/>
        <v>0</v>
      </c>
      <c r="J21" s="25">
        <f t="shared" si="3"/>
        <v>0</v>
      </c>
    </row>
    <row r="22" spans="1:10" ht="15.75" customHeight="1" x14ac:dyDescent="0.25">
      <c r="A22" s="9" t="str">
        <f t="shared" si="4"/>
        <v/>
      </c>
      <c r="B22" s="8"/>
      <c r="C22" s="24"/>
      <c r="D22" s="24"/>
      <c r="E22" s="24"/>
      <c r="F22" s="24"/>
      <c r="G22" s="24"/>
      <c r="H22" s="25">
        <f t="shared" si="0"/>
        <v>0</v>
      </c>
      <c r="I22" s="25">
        <f t="shared" si="1"/>
        <v>0</v>
      </c>
      <c r="J22" s="25">
        <f t="shared" si="3"/>
        <v>0</v>
      </c>
    </row>
    <row r="23" spans="1:10" ht="15.75" customHeight="1" x14ac:dyDescent="0.25">
      <c r="A23" s="9" t="str">
        <f t="shared" si="4"/>
        <v/>
      </c>
      <c r="B23" s="8"/>
      <c r="C23" s="24"/>
      <c r="D23" s="24"/>
      <c r="E23" s="24"/>
      <c r="F23" s="24"/>
      <c r="G23" s="24"/>
      <c r="H23" s="25">
        <f t="shared" si="0"/>
        <v>0</v>
      </c>
      <c r="I23" s="25">
        <f t="shared" si="1"/>
        <v>0</v>
      </c>
      <c r="J23" s="25">
        <f t="shared" si="3"/>
        <v>0</v>
      </c>
    </row>
    <row r="24" spans="1:10" ht="15.75" customHeight="1" x14ac:dyDescent="0.25">
      <c r="A24" s="9" t="str">
        <f t="shared" si="4"/>
        <v/>
      </c>
      <c r="B24" s="8"/>
      <c r="C24" s="24"/>
      <c r="D24" s="24"/>
      <c r="E24" s="24"/>
      <c r="F24" s="24"/>
      <c r="G24" s="24"/>
      <c r="H24" s="25">
        <f t="shared" si="0"/>
        <v>0</v>
      </c>
      <c r="I24" s="25">
        <f t="shared" si="1"/>
        <v>0</v>
      </c>
      <c r="J24" s="25">
        <f t="shared" si="3"/>
        <v>0</v>
      </c>
    </row>
    <row r="25" spans="1:10" ht="15.75" customHeight="1" x14ac:dyDescent="0.25">
      <c r="A25" s="9" t="str">
        <f t="shared" si="4"/>
        <v/>
      </c>
      <c r="B25" s="8"/>
      <c r="C25" s="24"/>
      <c r="D25" s="24"/>
      <c r="E25" s="24"/>
      <c r="F25" s="24"/>
      <c r="G25" s="24"/>
      <c r="H25" s="25">
        <f t="shared" si="0"/>
        <v>0</v>
      </c>
      <c r="I25" s="25">
        <f t="shared" si="1"/>
        <v>0</v>
      </c>
      <c r="J25" s="25">
        <f t="shared" si="3"/>
        <v>0</v>
      </c>
    </row>
    <row r="26" spans="1:10" ht="15.75" customHeight="1" x14ac:dyDescent="0.25">
      <c r="A26" s="9" t="str">
        <f t="shared" si="4"/>
        <v/>
      </c>
      <c r="B26" s="8"/>
      <c r="C26" s="24"/>
      <c r="D26" s="24"/>
      <c r="E26" s="24"/>
      <c r="F26" s="24"/>
      <c r="G26" s="24"/>
      <c r="H26" s="25">
        <f t="shared" si="0"/>
        <v>0</v>
      </c>
      <c r="I26" s="25">
        <f t="shared" si="1"/>
        <v>0</v>
      </c>
      <c r="J26" s="25">
        <f t="shared" si="3"/>
        <v>0</v>
      </c>
    </row>
    <row r="27" spans="1:10" ht="15.75" customHeight="1" x14ac:dyDescent="0.25">
      <c r="A27" s="9" t="str">
        <f t="shared" si="4"/>
        <v/>
      </c>
      <c r="B27" s="8"/>
      <c r="C27" s="24"/>
      <c r="D27" s="24"/>
      <c r="E27" s="24"/>
      <c r="F27" s="24"/>
      <c r="G27" s="24"/>
      <c r="H27" s="25">
        <f t="shared" si="0"/>
        <v>0</v>
      </c>
      <c r="I27" s="25">
        <f t="shared" si="1"/>
        <v>0</v>
      </c>
      <c r="J27" s="25">
        <f t="shared" si="3"/>
        <v>0</v>
      </c>
    </row>
    <row r="28" spans="1:10" ht="15.75" customHeight="1" x14ac:dyDescent="0.25">
      <c r="A28" s="9" t="str">
        <f t="shared" si="4"/>
        <v/>
      </c>
      <c r="B28" s="8"/>
      <c r="C28" s="24"/>
      <c r="D28" s="24"/>
      <c r="E28" s="24"/>
      <c r="F28" s="24"/>
      <c r="G28" s="24"/>
      <c r="H28" s="25">
        <f t="shared" si="0"/>
        <v>0</v>
      </c>
      <c r="I28" s="25">
        <f t="shared" si="1"/>
        <v>0</v>
      </c>
      <c r="J28" s="25">
        <f t="shared" si="3"/>
        <v>0</v>
      </c>
    </row>
    <row r="29" spans="1:10" ht="15.75" customHeight="1" x14ac:dyDescent="0.25">
      <c r="A29" s="9" t="str">
        <f t="shared" si="4"/>
        <v/>
      </c>
      <c r="B29" s="8"/>
      <c r="C29" s="24"/>
      <c r="D29" s="24"/>
      <c r="E29" s="24"/>
      <c r="F29" s="24"/>
      <c r="G29" s="24"/>
      <c r="H29" s="25">
        <f t="shared" si="0"/>
        <v>0</v>
      </c>
      <c r="I29" s="25">
        <f t="shared" si="1"/>
        <v>0</v>
      </c>
      <c r="J29" s="25">
        <f t="shared" si="3"/>
        <v>0</v>
      </c>
    </row>
    <row r="30" spans="1:10" ht="15.75" customHeight="1" x14ac:dyDescent="0.25">
      <c r="A30" s="9" t="str">
        <f t="shared" si="4"/>
        <v/>
      </c>
      <c r="B30" s="8"/>
      <c r="C30" s="24"/>
      <c r="D30" s="24"/>
      <c r="E30" s="24"/>
      <c r="F30" s="24"/>
      <c r="G30" s="24"/>
      <c r="H30" s="25">
        <f t="shared" si="0"/>
        <v>0</v>
      </c>
      <c r="I30" s="25">
        <f t="shared" si="1"/>
        <v>0</v>
      </c>
      <c r="J30" s="25">
        <f t="shared" si="3"/>
        <v>0</v>
      </c>
    </row>
    <row r="31" spans="1:10" ht="15.75" customHeight="1" x14ac:dyDescent="0.25">
      <c r="A31" s="9" t="str">
        <f t="shared" si="4"/>
        <v/>
      </c>
      <c r="B31" s="8"/>
      <c r="C31" s="24"/>
      <c r="D31" s="24"/>
      <c r="E31" s="24"/>
      <c r="F31" s="24"/>
      <c r="G31" s="24"/>
      <c r="H31" s="25">
        <f t="shared" si="0"/>
        <v>0</v>
      </c>
      <c r="I31" s="25">
        <f t="shared" si="1"/>
        <v>0</v>
      </c>
      <c r="J31" s="25">
        <f t="shared" si="3"/>
        <v>0</v>
      </c>
    </row>
    <row r="32" spans="1:10" ht="15.75" customHeight="1" x14ac:dyDescent="0.25">
      <c r="A32" s="9" t="str">
        <f t="shared" si="4"/>
        <v/>
      </c>
      <c r="B32" s="8"/>
      <c r="C32" s="24"/>
      <c r="D32" s="24"/>
      <c r="E32" s="24"/>
      <c r="F32" s="24"/>
      <c r="G32" s="24"/>
      <c r="H32" s="25">
        <f t="shared" si="0"/>
        <v>0</v>
      </c>
      <c r="I32" s="25">
        <f t="shared" si="1"/>
        <v>0</v>
      </c>
      <c r="J32" s="25">
        <f t="shared" si="3"/>
        <v>0</v>
      </c>
    </row>
    <row r="33" spans="1:10" ht="15.75" customHeight="1" x14ac:dyDescent="0.25">
      <c r="A33" s="9" t="str">
        <f t="shared" si="4"/>
        <v/>
      </c>
      <c r="B33" s="8"/>
      <c r="C33" s="24"/>
      <c r="D33" s="24"/>
      <c r="E33" s="24"/>
      <c r="F33" s="24"/>
      <c r="G33" s="24"/>
      <c r="H33" s="25">
        <f t="shared" si="0"/>
        <v>0</v>
      </c>
      <c r="I33" s="25">
        <f t="shared" si="1"/>
        <v>0</v>
      </c>
      <c r="J33" s="25">
        <f t="shared" si="3"/>
        <v>0</v>
      </c>
    </row>
    <row r="34" spans="1:10" ht="15.75" customHeight="1" x14ac:dyDescent="0.25">
      <c r="A34" s="9" t="str">
        <f t="shared" si="4"/>
        <v/>
      </c>
      <c r="B34" s="8"/>
      <c r="C34" s="24"/>
      <c r="D34" s="24"/>
      <c r="E34" s="24"/>
      <c r="F34" s="24"/>
      <c r="G34" s="24"/>
      <c r="H34" s="25">
        <f t="shared" si="0"/>
        <v>0</v>
      </c>
      <c r="I34" s="25">
        <f t="shared" si="1"/>
        <v>0</v>
      </c>
      <c r="J34" s="25">
        <f t="shared" si="3"/>
        <v>0</v>
      </c>
    </row>
    <row r="35" spans="1:10" ht="15.75" customHeight="1" x14ac:dyDescent="0.25">
      <c r="A35" s="9" t="str">
        <f t="shared" si="4"/>
        <v/>
      </c>
      <c r="B35" s="8"/>
      <c r="C35" s="24"/>
      <c r="D35" s="24"/>
      <c r="E35" s="24"/>
      <c r="F35" s="24"/>
      <c r="G35" s="24"/>
      <c r="H35" s="25">
        <f t="shared" si="0"/>
        <v>0</v>
      </c>
      <c r="I35" s="25">
        <f t="shared" si="1"/>
        <v>0</v>
      </c>
      <c r="J35" s="25">
        <f t="shared" si="3"/>
        <v>0</v>
      </c>
    </row>
    <row r="36" spans="1:10" ht="15.75" customHeight="1" x14ac:dyDescent="0.25">
      <c r="A36" s="9" t="str">
        <f t="shared" si="4"/>
        <v/>
      </c>
      <c r="B36" s="8"/>
      <c r="C36" s="24"/>
      <c r="D36" s="24"/>
      <c r="E36" s="24"/>
      <c r="F36" s="24"/>
      <c r="G36" s="24"/>
      <c r="H36" s="25">
        <f t="shared" si="0"/>
        <v>0</v>
      </c>
      <c r="I36" s="25">
        <f t="shared" si="1"/>
        <v>0</v>
      </c>
      <c r="J36" s="25">
        <f t="shared" si="3"/>
        <v>0</v>
      </c>
    </row>
    <row r="37" spans="1:10" ht="15.75" customHeight="1" x14ac:dyDescent="0.25">
      <c r="A37" s="9" t="str">
        <f t="shared" si="4"/>
        <v/>
      </c>
      <c r="B37" s="8"/>
      <c r="C37" s="24"/>
      <c r="D37" s="24"/>
      <c r="E37" s="24"/>
      <c r="F37" s="24"/>
      <c r="G37" s="24"/>
      <c r="H37" s="25">
        <f t="shared" si="0"/>
        <v>0</v>
      </c>
      <c r="I37" s="25">
        <f t="shared" si="1"/>
        <v>0</v>
      </c>
      <c r="J37" s="25">
        <f t="shared" si="3"/>
        <v>0</v>
      </c>
    </row>
    <row r="38" spans="1:10" ht="15.75" customHeight="1" x14ac:dyDescent="0.25">
      <c r="A38" s="9" t="str">
        <f t="shared" si="4"/>
        <v/>
      </c>
      <c r="B38" s="8"/>
      <c r="C38" s="24"/>
      <c r="D38" s="24"/>
      <c r="E38" s="24"/>
      <c r="F38" s="24"/>
      <c r="G38" s="24"/>
      <c r="H38" s="25">
        <f t="shared" si="0"/>
        <v>0</v>
      </c>
      <c r="I38" s="25">
        <f t="shared" si="1"/>
        <v>0</v>
      </c>
      <c r="J38" s="25">
        <f t="shared" si="3"/>
        <v>0</v>
      </c>
    </row>
    <row r="39" spans="1:10" ht="15.75" customHeight="1" x14ac:dyDescent="0.25">
      <c r="A39" s="9" t="str">
        <f t="shared" si="4"/>
        <v/>
      </c>
      <c r="B39" s="8"/>
      <c r="C39" s="24"/>
      <c r="D39" s="24"/>
      <c r="E39" s="24"/>
      <c r="F39" s="24"/>
      <c r="G39" s="24"/>
      <c r="H39" s="25">
        <f t="shared" si="0"/>
        <v>0</v>
      </c>
      <c r="I39" s="25">
        <f t="shared" si="1"/>
        <v>0</v>
      </c>
      <c r="J39" s="25">
        <f t="shared" si="3"/>
        <v>0</v>
      </c>
    </row>
    <row r="40" spans="1:10" ht="15.75" customHeight="1" x14ac:dyDescent="0.25">
      <c r="A40" s="9" t="str">
        <f t="shared" si="4"/>
        <v/>
      </c>
      <c r="B40" s="8"/>
      <c r="C40" s="24"/>
      <c r="D40" s="24"/>
      <c r="E40" s="24"/>
      <c r="F40" s="24"/>
      <c r="G40" s="24"/>
      <c r="H40" s="25">
        <f t="shared" si="0"/>
        <v>0</v>
      </c>
      <c r="I40" s="25">
        <f t="shared" si="1"/>
        <v>0</v>
      </c>
      <c r="J40" s="25">
        <f t="shared" si="3"/>
        <v>0</v>
      </c>
    </row>
  </sheetData>
  <conditionalFormatting sqref="B16:J40 H2:J15">
    <cfRule type="expression" dxfId="1" priority="10">
      <formula>$A2=""</formula>
    </cfRule>
  </conditionalFormatting>
  <conditionalFormatting sqref="B2:G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27"/>
  <sheetViews>
    <sheetView zoomScale="60" zoomScaleNormal="60" workbookViewId="0">
      <selection activeCell="K21" sqref="K21"/>
    </sheetView>
  </sheetViews>
  <sheetFormatPr defaultColWidth="14.36328125" defaultRowHeight="15.75" customHeight="1" x14ac:dyDescent="0.25"/>
  <cols>
    <col min="1" max="1" width="31.36328125" customWidth="1"/>
    <col min="2" max="7" width="13" customWidth="1"/>
    <col min="8" max="8" width="42.81640625" customWidth="1"/>
  </cols>
  <sheetData>
    <row r="1" spans="1:8" ht="27.75" customHeight="1" x14ac:dyDescent="0.3">
      <c r="A1" s="11" t="str">
        <f>"Percentage of deaths in baseline year ("&amp;start_year&amp;") attributable to cause"</f>
        <v>Percentage of deaths in baseline year (2017) attributable to cause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32</v>
      </c>
      <c r="H1" s="86" t="s">
        <v>204</v>
      </c>
    </row>
    <row r="2" spans="1:8" ht="15.75" customHeight="1" x14ac:dyDescent="0.25">
      <c r="A2" s="27" t="s">
        <v>73</v>
      </c>
      <c r="B2" s="82">
        <v>4.4999999999999997E-3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  <c r="H2" s="158" t="s">
        <v>206</v>
      </c>
    </row>
    <row r="3" spans="1:8" ht="15.75" customHeight="1" x14ac:dyDescent="0.25">
      <c r="A3" s="27" t="s">
        <v>7</v>
      </c>
      <c r="B3" s="82">
        <v>0.1603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159"/>
    </row>
    <row r="4" spans="1:8" ht="15.75" customHeight="1" x14ac:dyDescent="0.25">
      <c r="A4" s="27" t="s">
        <v>8</v>
      </c>
      <c r="B4" s="82">
        <v>6.3500000000000001E-2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159"/>
    </row>
    <row r="5" spans="1:8" ht="15.75" customHeight="1" x14ac:dyDescent="0.25">
      <c r="A5" s="27" t="s">
        <v>10</v>
      </c>
      <c r="B5" s="82">
        <v>0.28639999999999999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159"/>
    </row>
    <row r="6" spans="1:8" ht="15.75" customHeight="1" x14ac:dyDescent="0.25">
      <c r="A6" s="27" t="s">
        <v>13</v>
      </c>
      <c r="B6" s="82">
        <v>0.34749999999999998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159"/>
    </row>
    <row r="7" spans="1:8" ht="15.75" customHeight="1" x14ac:dyDescent="0.25">
      <c r="A7" s="27" t="s">
        <v>14</v>
      </c>
      <c r="B7" s="82">
        <v>1.12E-2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159"/>
    </row>
    <row r="8" spans="1:8" ht="15.75" customHeight="1" x14ac:dyDescent="0.25">
      <c r="A8" s="27" t="s">
        <v>27</v>
      </c>
      <c r="B8" s="82">
        <v>7.1300000000000002E-2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159"/>
    </row>
    <row r="9" spans="1:8" ht="15.75" customHeight="1" x14ac:dyDescent="0.25">
      <c r="A9" s="27" t="s">
        <v>15</v>
      </c>
      <c r="B9" s="82">
        <v>5.5300000000000002E-2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159"/>
    </row>
    <row r="10" spans="1:8" ht="15.75" customHeight="1" x14ac:dyDescent="0.25">
      <c r="A10" s="27" t="s">
        <v>71</v>
      </c>
      <c r="B10" s="28">
        <v>0</v>
      </c>
      <c r="C10" s="82">
        <v>0.15160000000000001</v>
      </c>
      <c r="D10" s="82">
        <v>0.15160000000000001</v>
      </c>
      <c r="E10" s="82">
        <v>0.15160000000000001</v>
      </c>
      <c r="F10" s="82">
        <v>0.15160000000000001</v>
      </c>
      <c r="G10" s="28">
        <v>0</v>
      </c>
      <c r="H10" s="159"/>
    </row>
    <row r="11" spans="1:8" ht="15.75" customHeight="1" x14ac:dyDescent="0.25">
      <c r="A11" s="27" t="s">
        <v>16</v>
      </c>
      <c r="B11" s="28">
        <v>0</v>
      </c>
      <c r="C11" s="82">
        <v>0.19289999999999999</v>
      </c>
      <c r="D11" s="82">
        <v>0.19289999999999999</v>
      </c>
      <c r="E11" s="82">
        <v>0.19289999999999999</v>
      </c>
      <c r="F11" s="82">
        <v>0.19289999999999999</v>
      </c>
      <c r="G11" s="28">
        <v>0</v>
      </c>
      <c r="H11" s="159"/>
    </row>
    <row r="12" spans="1:8" ht="15.75" customHeight="1" x14ac:dyDescent="0.25">
      <c r="A12" s="27" t="s">
        <v>17</v>
      </c>
      <c r="B12" s="28">
        <v>0</v>
      </c>
      <c r="C12" s="82">
        <v>3.7999999999999999E-2</v>
      </c>
      <c r="D12" s="82">
        <v>3.7999999999999999E-2</v>
      </c>
      <c r="E12" s="82">
        <v>3.7999999999999999E-2</v>
      </c>
      <c r="F12" s="82">
        <v>3.7999999999999999E-2</v>
      </c>
      <c r="G12" s="28">
        <v>0</v>
      </c>
      <c r="H12" s="159"/>
    </row>
    <row r="13" spans="1:8" ht="15.75" customHeight="1" x14ac:dyDescent="0.25">
      <c r="A13" s="27" t="s">
        <v>18</v>
      </c>
      <c r="B13" s="28">
        <v>0</v>
      </c>
      <c r="C13" s="82">
        <v>4.5499999999999999E-2</v>
      </c>
      <c r="D13" s="82">
        <v>4.5499999999999999E-2</v>
      </c>
      <c r="E13" s="82">
        <v>4.5499999999999999E-2</v>
      </c>
      <c r="F13" s="82">
        <v>4.5499999999999999E-2</v>
      </c>
      <c r="G13" s="28">
        <v>0</v>
      </c>
      <c r="H13" s="159"/>
    </row>
    <row r="14" spans="1:8" ht="15.75" customHeight="1" x14ac:dyDescent="0.25">
      <c r="A14" s="27" t="s">
        <v>19</v>
      </c>
      <c r="B14" s="28">
        <v>0</v>
      </c>
      <c r="C14" s="82">
        <v>0.1739</v>
      </c>
      <c r="D14" s="82">
        <v>0.1739</v>
      </c>
      <c r="E14" s="82">
        <v>0.1739</v>
      </c>
      <c r="F14" s="82">
        <v>0.1739</v>
      </c>
      <c r="G14" s="28">
        <v>0</v>
      </c>
      <c r="H14" s="159"/>
    </row>
    <row r="15" spans="1:8" ht="15.75" customHeight="1" x14ac:dyDescent="0.25">
      <c r="A15" s="27" t="s">
        <v>20</v>
      </c>
      <c r="B15" s="28">
        <v>0</v>
      </c>
      <c r="C15" s="82">
        <v>1.32E-2</v>
      </c>
      <c r="D15" s="82">
        <v>1.32E-2</v>
      </c>
      <c r="E15" s="82">
        <v>1.32E-2</v>
      </c>
      <c r="F15" s="82">
        <v>1.32E-2</v>
      </c>
      <c r="G15" s="28">
        <v>0</v>
      </c>
      <c r="H15" s="159"/>
    </row>
    <row r="16" spans="1:8" ht="15.75" customHeight="1" x14ac:dyDescent="0.25">
      <c r="A16" s="27" t="s">
        <v>21</v>
      </c>
      <c r="B16" s="28">
        <v>0</v>
      </c>
      <c r="C16" s="82">
        <v>7.7000000000000002E-3</v>
      </c>
      <c r="D16" s="82">
        <v>7.7000000000000002E-3</v>
      </c>
      <c r="E16" s="82">
        <v>7.7000000000000002E-3</v>
      </c>
      <c r="F16" s="82">
        <v>7.7000000000000002E-3</v>
      </c>
      <c r="G16" s="28">
        <v>0</v>
      </c>
      <c r="H16" s="159"/>
    </row>
    <row r="17" spans="1:8" ht="15.75" customHeight="1" x14ac:dyDescent="0.25">
      <c r="A17" s="27" t="s">
        <v>22</v>
      </c>
      <c r="B17" s="28">
        <v>0</v>
      </c>
      <c r="C17" s="82">
        <v>7.8600000000000003E-2</v>
      </c>
      <c r="D17" s="82">
        <v>7.8600000000000003E-2</v>
      </c>
      <c r="E17" s="82">
        <v>7.8600000000000003E-2</v>
      </c>
      <c r="F17" s="82">
        <v>7.8600000000000003E-2</v>
      </c>
      <c r="G17" s="28">
        <v>0</v>
      </c>
      <c r="H17" s="159"/>
    </row>
    <row r="18" spans="1:8" ht="15.75" customHeight="1" x14ac:dyDescent="0.25">
      <c r="A18" s="27" t="s">
        <v>23</v>
      </c>
      <c r="B18" s="28">
        <v>0</v>
      </c>
      <c r="C18" s="82">
        <v>0.29859999999999998</v>
      </c>
      <c r="D18" s="82">
        <v>0.29859999999999998</v>
      </c>
      <c r="E18" s="82">
        <v>0.29859999999999998</v>
      </c>
      <c r="F18" s="82">
        <v>0.29859999999999998</v>
      </c>
      <c r="G18" s="28">
        <v>0</v>
      </c>
      <c r="H18" s="159"/>
    </row>
    <row r="19" spans="1:8" ht="15.75" customHeight="1" x14ac:dyDescent="0.25">
      <c r="A19" s="27" t="s">
        <v>38</v>
      </c>
      <c r="B19" s="28">
        <v>0</v>
      </c>
      <c r="C19" s="28">
        <v>0</v>
      </c>
      <c r="D19" s="28">
        <v>0</v>
      </c>
      <c r="E19" s="28">
        <v>0</v>
      </c>
      <c r="F19" s="28">
        <v>0</v>
      </c>
      <c r="G19" s="83">
        <v>8.8900000000000007E-2</v>
      </c>
      <c r="H19" s="159"/>
    </row>
    <row r="20" spans="1:8" ht="15.75" customHeight="1" x14ac:dyDescent="0.25">
      <c r="A20" s="27" t="s">
        <v>39</v>
      </c>
      <c r="B20" s="28">
        <v>0</v>
      </c>
      <c r="C20" s="28">
        <v>0</v>
      </c>
      <c r="D20" s="28">
        <v>0</v>
      </c>
      <c r="E20" s="28">
        <v>0</v>
      </c>
      <c r="F20" s="28">
        <v>0</v>
      </c>
      <c r="G20" s="83">
        <v>8.6999999999999994E-3</v>
      </c>
      <c r="H20" s="159"/>
    </row>
    <row r="21" spans="1:8" ht="15.75" customHeight="1" x14ac:dyDescent="0.25">
      <c r="A21" s="27" t="s">
        <v>40</v>
      </c>
      <c r="B21" s="28">
        <v>0</v>
      </c>
      <c r="C21" s="28">
        <v>0</v>
      </c>
      <c r="D21" s="28">
        <v>0</v>
      </c>
      <c r="E21" s="28">
        <v>0</v>
      </c>
      <c r="F21" s="28">
        <v>0</v>
      </c>
      <c r="G21" s="83">
        <v>0.1575</v>
      </c>
      <c r="H21" s="159"/>
    </row>
    <row r="22" spans="1:8" ht="15.75" customHeight="1" x14ac:dyDescent="0.25">
      <c r="A22" s="27" t="s">
        <v>41</v>
      </c>
      <c r="B22" s="28">
        <v>0</v>
      </c>
      <c r="C22" s="28">
        <v>0</v>
      </c>
      <c r="D22" s="28">
        <v>0</v>
      </c>
      <c r="E22" s="28">
        <v>0</v>
      </c>
      <c r="F22" s="28">
        <v>0</v>
      </c>
      <c r="G22" s="83">
        <v>0.16980000000000001</v>
      </c>
      <c r="H22" s="159"/>
    </row>
    <row r="23" spans="1:8" ht="15.75" customHeight="1" x14ac:dyDescent="0.25">
      <c r="A23" s="27" t="s">
        <v>42</v>
      </c>
      <c r="B23" s="28">
        <v>0</v>
      </c>
      <c r="C23" s="28">
        <v>0</v>
      </c>
      <c r="D23" s="28">
        <v>0</v>
      </c>
      <c r="E23" s="28">
        <v>0</v>
      </c>
      <c r="F23" s="28">
        <v>0</v>
      </c>
      <c r="G23" s="83">
        <v>0.10489999999999999</v>
      </c>
      <c r="H23" s="159"/>
    </row>
    <row r="24" spans="1:8" ht="15.75" customHeight="1" x14ac:dyDescent="0.25">
      <c r="A24" s="27" t="s">
        <v>43</v>
      </c>
      <c r="B24" s="28">
        <v>0</v>
      </c>
      <c r="C24" s="28">
        <v>0</v>
      </c>
      <c r="D24" s="28">
        <v>0</v>
      </c>
      <c r="E24" s="28">
        <v>0</v>
      </c>
      <c r="F24" s="28">
        <v>0</v>
      </c>
      <c r="G24" s="83">
        <v>0.1087</v>
      </c>
      <c r="H24" s="159"/>
    </row>
    <row r="25" spans="1:8" ht="15.75" customHeight="1" x14ac:dyDescent="0.25">
      <c r="A25" s="27" t="s">
        <v>44</v>
      </c>
      <c r="B25" s="28">
        <v>0</v>
      </c>
      <c r="C25" s="28">
        <v>0</v>
      </c>
      <c r="D25" s="28">
        <v>0</v>
      </c>
      <c r="E25" s="28">
        <v>0</v>
      </c>
      <c r="F25" s="28">
        <v>0</v>
      </c>
      <c r="G25" s="83">
        <v>1.8800000000000001E-2</v>
      </c>
      <c r="H25" s="159"/>
    </row>
    <row r="26" spans="1:8" ht="15.75" customHeight="1" x14ac:dyDescent="0.25">
      <c r="A26" s="27" t="s">
        <v>45</v>
      </c>
      <c r="B26" s="28">
        <v>0</v>
      </c>
      <c r="C26" s="28">
        <v>0</v>
      </c>
      <c r="D26" s="28">
        <v>0</v>
      </c>
      <c r="E26" s="28">
        <v>0</v>
      </c>
      <c r="F26" s="28">
        <v>0</v>
      </c>
      <c r="G26" s="83">
        <v>8.5800000000000001E-2</v>
      </c>
      <c r="H26" s="159"/>
    </row>
    <row r="27" spans="1:8" ht="15.75" customHeight="1" x14ac:dyDescent="0.25">
      <c r="A27" s="27" t="s">
        <v>46</v>
      </c>
      <c r="B27" s="28">
        <v>0</v>
      </c>
      <c r="C27" s="28">
        <v>0</v>
      </c>
      <c r="D27" s="28">
        <v>0</v>
      </c>
      <c r="E27" s="28">
        <v>0</v>
      </c>
      <c r="F27" s="28">
        <v>0</v>
      </c>
      <c r="G27" s="83">
        <v>0.25690000000000002</v>
      </c>
      <c r="H27" s="159"/>
    </row>
  </sheetData>
  <mergeCells count="1">
    <mergeCell ref="H2:H27"/>
  </mergeCells>
  <phoneticPr fontId="8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46"/>
  <sheetViews>
    <sheetView zoomScale="68" zoomScaleNormal="60" workbookViewId="0">
      <selection activeCell="A20" sqref="A20:XFD140"/>
    </sheetView>
  </sheetViews>
  <sheetFormatPr defaultColWidth="14.36328125" defaultRowHeight="15.75" customHeight="1" x14ac:dyDescent="0.25"/>
  <cols>
    <col min="1" max="1" width="31.36328125" customWidth="1"/>
    <col min="2" max="2" width="24" customWidth="1"/>
    <col min="8" max="8" width="16.08984375" bestFit="1" customWidth="1"/>
  </cols>
  <sheetData>
    <row r="1" spans="1:15" ht="36" customHeight="1" x14ac:dyDescent="0.3">
      <c r="A1" s="31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86" t="s">
        <v>204</v>
      </c>
    </row>
    <row r="2" spans="1:15" ht="15.75" customHeight="1" x14ac:dyDescent="0.25">
      <c r="A2" s="6" t="s">
        <v>116</v>
      </c>
      <c r="B2" s="14" t="s">
        <v>118</v>
      </c>
      <c r="C2" s="139">
        <v>0.64348479999999997</v>
      </c>
      <c r="D2" s="139">
        <v>0.64348479999999997</v>
      </c>
      <c r="E2" s="139">
        <v>0.48154960000000002</v>
      </c>
      <c r="F2" s="139">
        <v>0.39770349999999999</v>
      </c>
      <c r="G2" s="139">
        <v>0.21143380000000001</v>
      </c>
      <c r="H2" s="158" t="s">
        <v>242</v>
      </c>
    </row>
    <row r="3" spans="1:15" ht="15.75" customHeight="1" x14ac:dyDescent="0.25">
      <c r="A3" s="5"/>
      <c r="B3" s="14" t="s">
        <v>119</v>
      </c>
      <c r="C3" s="139">
        <v>0.23375360000000001</v>
      </c>
      <c r="D3" s="139">
        <v>0.23375360000000001</v>
      </c>
      <c r="E3" s="139">
        <v>0.30330829999999998</v>
      </c>
      <c r="F3" s="139">
        <v>0.18618899999999999</v>
      </c>
      <c r="G3" s="139">
        <v>0.214342</v>
      </c>
      <c r="H3" s="158"/>
    </row>
    <row r="4" spans="1:15" ht="15.75" customHeight="1" x14ac:dyDescent="0.25">
      <c r="A4" s="5"/>
      <c r="B4" s="14" t="s">
        <v>117</v>
      </c>
      <c r="C4" s="139">
        <v>0.1227616</v>
      </c>
      <c r="D4" s="139">
        <v>0.1227616</v>
      </c>
      <c r="E4" s="139">
        <v>9.1596899999999995E-2</v>
      </c>
      <c r="F4" s="139">
        <v>0.27650089999999999</v>
      </c>
      <c r="G4" s="139">
        <v>0.21108940000000001</v>
      </c>
      <c r="H4" s="158"/>
    </row>
    <row r="5" spans="1:15" ht="15.75" customHeight="1" x14ac:dyDescent="0.25">
      <c r="A5" s="5"/>
      <c r="B5" s="14" t="s">
        <v>120</v>
      </c>
      <c r="C5" s="139">
        <v>0</v>
      </c>
      <c r="D5" s="139">
        <v>0</v>
      </c>
      <c r="E5" s="139">
        <v>0.12354519999999999</v>
      </c>
      <c r="F5" s="139">
        <v>0.1396066</v>
      </c>
      <c r="G5" s="139">
        <v>0.36313469999999998</v>
      </c>
      <c r="H5" s="158"/>
      <c r="I5" s="113"/>
    </row>
    <row r="6" spans="1:15" ht="15.75" customHeight="1" x14ac:dyDescent="0.25">
      <c r="B6" s="17"/>
      <c r="C6" s="33">
        <f>SUM(C2:C5)</f>
        <v>1</v>
      </c>
      <c r="D6" s="33"/>
      <c r="E6" s="33"/>
      <c r="F6" s="33"/>
      <c r="G6" s="33"/>
    </row>
    <row r="7" spans="1:15" ht="15.75" customHeight="1" x14ac:dyDescent="0.25">
      <c r="B7" s="17"/>
      <c r="C7" s="33"/>
      <c r="D7" s="33"/>
      <c r="E7" s="33"/>
      <c r="F7" s="33"/>
      <c r="G7" s="33"/>
    </row>
    <row r="8" spans="1:15" ht="15.75" customHeight="1" x14ac:dyDescent="0.25">
      <c r="A8" s="3" t="s">
        <v>115</v>
      </c>
      <c r="B8" s="9" t="s">
        <v>121</v>
      </c>
      <c r="C8" s="139">
        <v>0.57919350000000003</v>
      </c>
      <c r="D8" s="139">
        <v>0.57919350000000003</v>
      </c>
      <c r="E8" s="139">
        <v>0.78624810000000001</v>
      </c>
      <c r="F8" s="139">
        <v>0.80122879999999996</v>
      </c>
      <c r="G8" s="139">
        <v>0.75123879999999998</v>
      </c>
      <c r="H8" s="158" t="s">
        <v>242</v>
      </c>
    </row>
    <row r="9" spans="1:15" ht="15.75" customHeight="1" x14ac:dyDescent="0.25">
      <c r="B9" s="9" t="s">
        <v>122</v>
      </c>
      <c r="C9" s="139">
        <v>0.189697</v>
      </c>
      <c r="D9" s="139">
        <v>0.189697</v>
      </c>
      <c r="E9" s="139">
        <v>0.16401299999999999</v>
      </c>
      <c r="F9" s="139">
        <v>9.3962400000000001E-2</v>
      </c>
      <c r="G9" s="139">
        <v>0.17256469999999999</v>
      </c>
      <c r="H9" s="158"/>
    </row>
    <row r="10" spans="1:15" ht="15.75" customHeight="1" x14ac:dyDescent="0.25">
      <c r="B10" s="9" t="s">
        <v>123</v>
      </c>
      <c r="C10" s="139">
        <v>0.2109067</v>
      </c>
      <c r="D10" s="139">
        <v>0.2109067</v>
      </c>
      <c r="E10" s="139">
        <v>4.9738900000000003E-2</v>
      </c>
      <c r="F10" s="139">
        <v>5.5811100000000002E-2</v>
      </c>
      <c r="G10" s="139">
        <v>5.97443E-2</v>
      </c>
      <c r="H10" s="158"/>
    </row>
    <row r="11" spans="1:15" ht="15.75" customHeight="1" x14ac:dyDescent="0.25">
      <c r="B11" s="9" t="s">
        <v>124</v>
      </c>
      <c r="C11" s="139">
        <v>2.0202899999999999E-2</v>
      </c>
      <c r="D11" s="139">
        <v>2.0202899999999999E-2</v>
      </c>
      <c r="E11" s="139">
        <v>0</v>
      </c>
      <c r="F11" s="139">
        <v>4.8997699999999998E-2</v>
      </c>
      <c r="G11" s="139">
        <v>1.64522E-2</v>
      </c>
      <c r="H11" s="158"/>
    </row>
    <row r="12" spans="1:15" ht="15.75" customHeight="1" x14ac:dyDescent="0.2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25">
      <c r="A13" s="15" t="s">
        <v>70</v>
      </c>
      <c r="C13" s="49" t="s">
        <v>1</v>
      </c>
      <c r="D13" s="49" t="s">
        <v>2</v>
      </c>
      <c r="E13" s="49" t="s">
        <v>3</v>
      </c>
      <c r="F13" s="49" t="s">
        <v>4</v>
      </c>
      <c r="G13" s="49" t="s">
        <v>5</v>
      </c>
      <c r="H13" s="87" t="s">
        <v>53</v>
      </c>
      <c r="I13" s="87" t="s">
        <v>54</v>
      </c>
      <c r="J13" s="87" t="s">
        <v>55</v>
      </c>
      <c r="K13" s="87" t="s">
        <v>56</v>
      </c>
      <c r="L13" s="87" t="s">
        <v>49</v>
      </c>
      <c r="M13" s="87" t="s">
        <v>50</v>
      </c>
      <c r="N13" s="87" t="s">
        <v>51</v>
      </c>
      <c r="O13" s="87" t="s">
        <v>52</v>
      </c>
    </row>
    <row r="14" spans="1:15" ht="15.75" customHeight="1" x14ac:dyDescent="0.25">
      <c r="B14" s="19" t="s">
        <v>132</v>
      </c>
      <c r="C14" s="147"/>
      <c r="D14" s="147"/>
      <c r="E14" s="139">
        <v>0.50349999999999995</v>
      </c>
      <c r="F14" s="139">
        <v>0.63260000000000005</v>
      </c>
      <c r="G14" s="139">
        <v>0.68799999999999994</v>
      </c>
      <c r="H14" s="148">
        <v>0.64780000000000004</v>
      </c>
      <c r="I14" s="148">
        <v>0.53990000000000005</v>
      </c>
      <c r="J14" s="148">
        <v>0.33789999999999998</v>
      </c>
      <c r="K14" s="148">
        <v>1</v>
      </c>
      <c r="L14" s="148">
        <v>0.50649999999999995</v>
      </c>
      <c r="M14" s="148">
        <v>0.46050000000000002</v>
      </c>
      <c r="N14" s="148">
        <v>0.42359999999999998</v>
      </c>
      <c r="O14" s="148">
        <v>0.39460000000000001</v>
      </c>
    </row>
    <row r="15" spans="1:15" ht="15.75" customHeight="1" x14ac:dyDescent="0.25">
      <c r="B15" s="19" t="s">
        <v>68</v>
      </c>
      <c r="C15" s="37">
        <f t="shared" ref="C15:O15" si="0">iron_deficiency_anaemia*C14</f>
        <v>0</v>
      </c>
      <c r="D15" s="37">
        <f t="shared" si="0"/>
        <v>0</v>
      </c>
      <c r="E15" s="37">
        <f t="shared" si="0"/>
        <v>0.21912319999999996</v>
      </c>
      <c r="F15" s="37">
        <f t="shared" si="0"/>
        <v>0.27530752000000003</v>
      </c>
      <c r="G15" s="37">
        <f t="shared" si="0"/>
        <v>0.29941759999999995</v>
      </c>
      <c r="H15" s="37">
        <f t="shared" si="0"/>
        <v>0.28192255999999999</v>
      </c>
      <c r="I15" s="37">
        <f t="shared" si="0"/>
        <v>0.23496448</v>
      </c>
      <c r="J15" s="37">
        <f t="shared" si="0"/>
        <v>0.14705407999999998</v>
      </c>
      <c r="K15" s="37">
        <f t="shared" si="0"/>
        <v>0.43519999999999998</v>
      </c>
      <c r="L15" s="37">
        <f t="shared" si="0"/>
        <v>0.22042879999999995</v>
      </c>
      <c r="M15" s="37">
        <f t="shared" si="0"/>
        <v>0.20040959999999999</v>
      </c>
      <c r="N15" s="37">
        <f t="shared" si="0"/>
        <v>0.18435071999999997</v>
      </c>
      <c r="O15" s="37">
        <f t="shared" si="0"/>
        <v>0.17172991999999998</v>
      </c>
    </row>
    <row r="16" spans="1:15" ht="19" customHeight="1" x14ac:dyDescent="0.3">
      <c r="B16" s="94" t="s">
        <v>211</v>
      </c>
      <c r="C16" s="160" t="s">
        <v>242</v>
      </c>
      <c r="D16" s="161"/>
      <c r="E16" s="161"/>
      <c r="F16" s="161"/>
      <c r="G16" s="161"/>
      <c r="H16" s="162" t="s">
        <v>242</v>
      </c>
      <c r="I16" s="163"/>
      <c r="J16" s="163"/>
      <c r="K16" s="163"/>
      <c r="L16" s="163"/>
      <c r="M16" s="163"/>
      <c r="N16" s="163"/>
      <c r="O16" s="163"/>
    </row>
    <row r="17" spans="3:15" ht="49.75" customHeight="1" x14ac:dyDescent="0.25">
      <c r="C17" s="10"/>
      <c r="D17" s="10"/>
      <c r="E17" s="10"/>
      <c r="F17" s="10"/>
      <c r="G17" s="10"/>
      <c r="H17" s="164"/>
      <c r="I17" s="164"/>
      <c r="J17" s="164"/>
      <c r="K17" s="164"/>
      <c r="L17" s="164"/>
      <c r="M17" s="164"/>
      <c r="N17" s="164"/>
      <c r="O17" s="164"/>
    </row>
    <row r="46" spans="14:14" ht="15.75" customHeight="1" x14ac:dyDescent="0.25">
      <c r="N46">
        <v>30</v>
      </c>
    </row>
  </sheetData>
  <mergeCells count="5">
    <mergeCell ref="H2:H5"/>
    <mergeCell ref="H8:H11"/>
    <mergeCell ref="C16:G16"/>
    <mergeCell ref="H16:O16"/>
    <mergeCell ref="H17:O17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AG35"/>
  <sheetViews>
    <sheetView zoomScale="89" zoomScaleNormal="60" workbookViewId="0">
      <selection activeCell="E19" sqref="E19"/>
    </sheetView>
  </sheetViews>
  <sheetFormatPr defaultColWidth="8.81640625" defaultRowHeight="12.5" x14ac:dyDescent="0.25"/>
  <cols>
    <col min="1" max="1" width="28.81640625" customWidth="1"/>
    <col min="2" max="7" width="13.36328125" customWidth="1"/>
    <col min="8" max="8" width="16.08984375" bestFit="1" customWidth="1"/>
  </cols>
  <sheetData>
    <row r="1" spans="1:32" ht="40.5" customHeight="1" x14ac:dyDescent="0.3">
      <c r="A1" s="31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86" t="s">
        <v>204</v>
      </c>
    </row>
    <row r="2" spans="1:32" x14ac:dyDescent="0.25">
      <c r="A2" s="3" t="s">
        <v>24</v>
      </c>
      <c r="B2" s="50" t="s">
        <v>166</v>
      </c>
      <c r="C2" s="32"/>
      <c r="D2" s="32"/>
      <c r="E2" s="32"/>
      <c r="F2" s="32"/>
      <c r="G2" s="32"/>
      <c r="H2" s="158" t="s">
        <v>207</v>
      </c>
    </row>
    <row r="3" spans="1:32" x14ac:dyDescent="0.25">
      <c r="B3" s="50" t="s">
        <v>167</v>
      </c>
      <c r="C3" s="32"/>
      <c r="D3" s="32"/>
      <c r="E3" s="32"/>
      <c r="F3" s="32"/>
      <c r="G3" s="32"/>
      <c r="H3" s="158"/>
    </row>
    <row r="4" spans="1:32" x14ac:dyDescent="0.25">
      <c r="B4" s="50" t="s">
        <v>168</v>
      </c>
      <c r="C4" s="32"/>
      <c r="D4" s="32"/>
      <c r="E4" s="32"/>
      <c r="F4" s="32"/>
      <c r="G4" s="32"/>
      <c r="H4" s="158"/>
    </row>
    <row r="5" spans="1:32" x14ac:dyDescent="0.25">
      <c r="B5" s="50" t="s">
        <v>169</v>
      </c>
      <c r="C5" s="37">
        <f>1-SUM(C2:C4)</f>
        <v>1</v>
      </c>
      <c r="D5" s="37">
        <f t="shared" ref="D5:G5" si="0">1-SUM(D2:D4)</f>
        <v>1</v>
      </c>
      <c r="E5" s="37">
        <f t="shared" si="0"/>
        <v>1</v>
      </c>
      <c r="F5" s="37">
        <f t="shared" si="0"/>
        <v>1</v>
      </c>
      <c r="G5" s="37">
        <f t="shared" si="0"/>
        <v>1</v>
      </c>
      <c r="H5" s="158"/>
    </row>
    <row r="7" spans="1:32" x14ac:dyDescent="0.25">
      <c r="E7" s="15" t="s">
        <v>260</v>
      </c>
      <c r="F7" s="15" t="s">
        <v>260</v>
      </c>
      <c r="G7" s="15" t="s">
        <v>260</v>
      </c>
    </row>
    <row r="9" spans="1:32" s="98" customFormat="1" ht="14.5" x14ac:dyDescent="0.35">
      <c r="A9" s="107" t="s">
        <v>255</v>
      </c>
      <c r="B9" s="35" t="s">
        <v>24</v>
      </c>
      <c r="C9" s="35"/>
      <c r="D9" s="15"/>
      <c r="E9" s="15"/>
      <c r="F9" s="15"/>
      <c r="G9" s="15"/>
      <c r="H9" s="15"/>
      <c r="AF9" s="99"/>
    </row>
    <row r="10" spans="1:32" s="98" customFormat="1" ht="14.5" x14ac:dyDescent="0.35">
      <c r="A10" s="117" t="s">
        <v>258</v>
      </c>
      <c r="B10" s="109" t="s">
        <v>166</v>
      </c>
      <c r="C10" s="106" t="s">
        <v>213</v>
      </c>
      <c r="D10" s="106" t="s">
        <v>214</v>
      </c>
      <c r="E10" s="106" t="s">
        <v>215</v>
      </c>
      <c r="F10" s="106" t="s">
        <v>216</v>
      </c>
      <c r="G10" s="106" t="s">
        <v>217</v>
      </c>
      <c r="H10" s="106" t="s">
        <v>218</v>
      </c>
      <c r="I10" s="106" t="s">
        <v>219</v>
      </c>
      <c r="J10" s="106" t="s">
        <v>220</v>
      </c>
      <c r="K10" s="106" t="s">
        <v>221</v>
      </c>
      <c r="L10" s="106" t="s">
        <v>222</v>
      </c>
      <c r="M10" s="106" t="s">
        <v>223</v>
      </c>
      <c r="N10" s="106" t="s">
        <v>224</v>
      </c>
      <c r="O10" s="106" t="s">
        <v>225</v>
      </c>
      <c r="P10" s="106" t="s">
        <v>226</v>
      </c>
      <c r="Q10" s="106" t="s">
        <v>227</v>
      </c>
      <c r="R10" s="106" t="s">
        <v>228</v>
      </c>
      <c r="S10" s="106" t="s">
        <v>229</v>
      </c>
      <c r="T10" s="106" t="s">
        <v>230</v>
      </c>
      <c r="U10" s="106" t="s">
        <v>231</v>
      </c>
      <c r="V10" s="106" t="s">
        <v>232</v>
      </c>
      <c r="W10" s="106" t="s">
        <v>233</v>
      </c>
      <c r="X10" s="106" t="s">
        <v>234</v>
      </c>
      <c r="Y10" s="106" t="s">
        <v>235</v>
      </c>
      <c r="Z10" s="106" t="s">
        <v>236</v>
      </c>
      <c r="AA10" s="106" t="s">
        <v>237</v>
      </c>
      <c r="AB10" s="106" t="s">
        <v>238</v>
      </c>
      <c r="AC10" s="106" t="s">
        <v>239</v>
      </c>
      <c r="AF10" s="99"/>
    </row>
    <row r="11" spans="1:32" s="98" customFormat="1" ht="14.5" x14ac:dyDescent="0.35">
      <c r="A11" s="108"/>
      <c r="B11" s="110" t="s">
        <v>1</v>
      </c>
      <c r="C11" s="139">
        <v>0.82742304</v>
      </c>
      <c r="D11" s="139">
        <v>0.76725639999999995</v>
      </c>
      <c r="E11" s="139">
        <v>0.79273190000000004</v>
      </c>
      <c r="F11" s="139">
        <v>0.78233390000000003</v>
      </c>
      <c r="G11" s="139">
        <v>1</v>
      </c>
      <c r="H11" s="139">
        <v>0.76858649999999995</v>
      </c>
      <c r="I11" s="139">
        <v>1</v>
      </c>
      <c r="J11" s="139">
        <v>0.77965379999999995</v>
      </c>
      <c r="K11" s="139">
        <v>1</v>
      </c>
      <c r="L11" s="139">
        <v>1</v>
      </c>
      <c r="M11" s="139">
        <v>0</v>
      </c>
      <c r="N11" s="139">
        <v>0.70158379999999998</v>
      </c>
      <c r="O11" s="139">
        <v>0.74815129999999996</v>
      </c>
      <c r="P11" s="139">
        <v>0.92368589999999995</v>
      </c>
      <c r="Q11" s="139">
        <v>0.74172709999999997</v>
      </c>
      <c r="R11" s="139">
        <v>0.87879589999999996</v>
      </c>
      <c r="S11" s="139">
        <v>0.82051689999999999</v>
      </c>
      <c r="T11" s="139">
        <v>0.28680119999999998</v>
      </c>
      <c r="U11" s="139">
        <v>0.5611237</v>
      </c>
      <c r="V11" s="139">
        <v>0.78187280000000003</v>
      </c>
      <c r="W11" s="139">
        <v>0.83315950000000005</v>
      </c>
      <c r="X11" s="139">
        <v>1</v>
      </c>
      <c r="Y11" s="139">
        <v>1</v>
      </c>
      <c r="Z11" s="139">
        <v>0.84400699999999995</v>
      </c>
      <c r="AA11" s="139">
        <v>1</v>
      </c>
      <c r="AB11" s="139">
        <v>0.96081609999999995</v>
      </c>
      <c r="AC11" s="139">
        <v>0.94502719999999996</v>
      </c>
      <c r="AE11" s="98" t="s">
        <v>242</v>
      </c>
      <c r="AF11" s="99" t="s">
        <v>256</v>
      </c>
    </row>
    <row r="12" spans="1:32" s="98" customFormat="1" ht="14.5" x14ac:dyDescent="0.35">
      <c r="A12" s="108"/>
      <c r="B12" s="110" t="s">
        <v>2</v>
      </c>
      <c r="C12" s="139">
        <v>0.44188228000000002</v>
      </c>
      <c r="D12" s="139">
        <v>0.2478079</v>
      </c>
      <c r="E12" s="139">
        <v>0.26665739999999999</v>
      </c>
      <c r="F12" s="139">
        <v>0.36827300000000002</v>
      </c>
      <c r="G12" s="139">
        <v>0.35376730000000001</v>
      </c>
      <c r="H12" s="139">
        <v>0.26766420000000002</v>
      </c>
      <c r="I12" s="139">
        <v>0.57757219999999998</v>
      </c>
      <c r="J12" s="139">
        <v>0.49114229999999998</v>
      </c>
      <c r="K12" s="139">
        <v>0.59735380000000005</v>
      </c>
      <c r="L12" s="139">
        <v>0.64204629999999996</v>
      </c>
      <c r="M12" s="139">
        <v>0.1702351</v>
      </c>
      <c r="N12" s="139">
        <v>0.2367184</v>
      </c>
      <c r="O12" s="139">
        <v>0.43913570000000002</v>
      </c>
      <c r="P12" s="139">
        <v>0.32459120000000002</v>
      </c>
      <c r="Q12" s="139">
        <v>0.43658469999999999</v>
      </c>
      <c r="R12" s="139">
        <v>0.62435079999999998</v>
      </c>
      <c r="S12" s="139">
        <v>0.23947570000000001</v>
      </c>
      <c r="T12" s="139">
        <v>0.37767040000000002</v>
      </c>
      <c r="U12" s="139">
        <v>0.31535980000000002</v>
      </c>
      <c r="V12" s="139">
        <v>0.33437339999999999</v>
      </c>
      <c r="W12" s="139">
        <v>0.75604950000000004</v>
      </c>
      <c r="X12" s="139">
        <v>0.64908949999999999</v>
      </c>
      <c r="Y12" s="139">
        <v>0.9042751</v>
      </c>
      <c r="Z12" s="139">
        <v>0.52520549999999999</v>
      </c>
      <c r="AA12" s="139">
        <v>0.56233770000000005</v>
      </c>
      <c r="AB12" s="139">
        <v>0.49104300000000001</v>
      </c>
      <c r="AC12" s="139">
        <v>0.63126110000000002</v>
      </c>
      <c r="AE12" s="98" t="s">
        <v>242</v>
      </c>
      <c r="AF12" s="99" t="s">
        <v>257</v>
      </c>
    </row>
    <row r="13" spans="1:32" s="98" customFormat="1" ht="14.5" x14ac:dyDescent="0.35">
      <c r="A13" s="108"/>
      <c r="B13" s="110" t="s">
        <v>3</v>
      </c>
      <c r="C13" s="139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E13" s="98" t="s">
        <v>242</v>
      </c>
      <c r="AF13" s="99"/>
    </row>
    <row r="14" spans="1:32" s="98" customFormat="1" ht="14.5" x14ac:dyDescent="0.35">
      <c r="A14" s="108"/>
      <c r="B14" s="110" t="s">
        <v>4</v>
      </c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E14" s="98" t="s">
        <v>242</v>
      </c>
      <c r="AF14" s="99"/>
    </row>
    <row r="15" spans="1:32" s="98" customFormat="1" ht="14.5" x14ac:dyDescent="0.35">
      <c r="A15" s="108"/>
      <c r="B15" s="110" t="s">
        <v>5</v>
      </c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E15" s="98" t="s">
        <v>242</v>
      </c>
      <c r="AF15" s="99"/>
    </row>
    <row r="16" spans="1:32" s="98" customFormat="1" ht="14.5" x14ac:dyDescent="0.35">
      <c r="A16" s="111"/>
      <c r="B16" s="109" t="s">
        <v>167</v>
      </c>
      <c r="AF16" s="99"/>
    </row>
    <row r="17" spans="1:33" s="98" customFormat="1" ht="14.5" x14ac:dyDescent="0.35">
      <c r="A17" s="111"/>
      <c r="B17" s="101" t="s">
        <v>1</v>
      </c>
      <c r="C17" s="149">
        <v>0.14884900000000001</v>
      </c>
      <c r="D17" s="149">
        <v>0</v>
      </c>
      <c r="E17" s="149">
        <v>0.1402042</v>
      </c>
      <c r="F17" s="149">
        <v>0.2176661</v>
      </c>
      <c r="G17" s="149">
        <v>0</v>
      </c>
      <c r="H17" s="149">
        <v>0.23141349999999999</v>
      </c>
      <c r="I17" s="149">
        <v>0</v>
      </c>
      <c r="J17" s="149">
        <v>0.10069069999999999</v>
      </c>
      <c r="K17" s="149">
        <v>0</v>
      </c>
      <c r="L17" s="149">
        <v>0</v>
      </c>
      <c r="M17" s="149">
        <v>1</v>
      </c>
      <c r="N17" s="149">
        <v>0.29841620000000002</v>
      </c>
      <c r="O17" s="149">
        <v>0.25184869999999998</v>
      </c>
      <c r="P17" s="149">
        <v>7.6314099999999996E-2</v>
      </c>
      <c r="Q17" s="149">
        <v>0.1834143</v>
      </c>
      <c r="R17" s="149">
        <v>0</v>
      </c>
      <c r="S17" s="149">
        <v>0.17948310000000001</v>
      </c>
      <c r="T17" s="149">
        <v>0.64592249999999996</v>
      </c>
      <c r="U17" s="149">
        <v>0.4388763</v>
      </c>
      <c r="V17" s="149">
        <v>0.21812719999999999</v>
      </c>
      <c r="W17" s="149">
        <v>0.1668405</v>
      </c>
      <c r="X17" s="149">
        <v>0</v>
      </c>
      <c r="Y17" s="149">
        <v>0</v>
      </c>
      <c r="Z17" s="149">
        <v>0</v>
      </c>
      <c r="AA17" s="149">
        <v>0</v>
      </c>
      <c r="AB17" s="149">
        <v>3.9183900000000001E-2</v>
      </c>
      <c r="AC17" s="149">
        <v>5.4972699999999999E-2</v>
      </c>
      <c r="AF17" s="99"/>
    </row>
    <row r="18" spans="1:33" s="98" customFormat="1" ht="14.5" x14ac:dyDescent="0.35">
      <c r="A18" s="111"/>
      <c r="B18" s="101" t="s">
        <v>2</v>
      </c>
      <c r="C18" s="149">
        <v>0.2367987</v>
      </c>
      <c r="D18" s="149">
        <v>0.27532849999999998</v>
      </c>
      <c r="E18" s="149">
        <v>0.24340059999999999</v>
      </c>
      <c r="F18" s="149">
        <v>0.30685050000000003</v>
      </c>
      <c r="G18" s="149">
        <v>0.32535140000000001</v>
      </c>
      <c r="H18" s="149">
        <v>0.30865540000000002</v>
      </c>
      <c r="I18" s="149">
        <v>0.2425436</v>
      </c>
      <c r="J18" s="149">
        <v>0.37850850000000003</v>
      </c>
      <c r="K18" s="149">
        <v>7.5688099999999994E-2</v>
      </c>
      <c r="L18" s="149">
        <v>0.13919690000000001</v>
      </c>
      <c r="M18" s="149">
        <v>0.56369860000000005</v>
      </c>
      <c r="N18" s="149">
        <v>0.3704209</v>
      </c>
      <c r="O18" s="149">
        <v>0.3333198</v>
      </c>
      <c r="P18" s="149">
        <v>0.39654080000000003</v>
      </c>
      <c r="Q18" s="149">
        <v>0.17585410000000001</v>
      </c>
      <c r="R18" s="149">
        <v>0.14249490000000001</v>
      </c>
      <c r="S18" s="149">
        <v>0.12763969999999999</v>
      </c>
      <c r="T18" s="149">
        <v>0.364593</v>
      </c>
      <c r="U18" s="149">
        <v>0.2283462</v>
      </c>
      <c r="V18" s="149">
        <v>0.33815079999999997</v>
      </c>
      <c r="W18" s="149">
        <v>4.8908100000000003E-2</v>
      </c>
      <c r="X18" s="149">
        <v>0.1845415</v>
      </c>
      <c r="Y18" s="149">
        <v>0</v>
      </c>
      <c r="Z18" s="149">
        <v>0.32589360000000001</v>
      </c>
      <c r="AA18" s="149">
        <v>0.15626670000000001</v>
      </c>
      <c r="AB18" s="149">
        <v>0.21271219999999999</v>
      </c>
      <c r="AC18" s="149">
        <v>0.112413</v>
      </c>
      <c r="AF18" s="99"/>
    </row>
    <row r="19" spans="1:33" s="98" customFormat="1" ht="14.5" x14ac:dyDescent="0.35">
      <c r="A19" s="111"/>
      <c r="B19" s="101" t="s">
        <v>3</v>
      </c>
      <c r="C19" s="149"/>
      <c r="D19" s="149"/>
      <c r="E19" s="149"/>
      <c r="F19" s="149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F19" s="99"/>
    </row>
    <row r="20" spans="1:33" s="98" customFormat="1" ht="14.5" x14ac:dyDescent="0.35">
      <c r="A20" s="111"/>
      <c r="B20" s="101" t="s">
        <v>4</v>
      </c>
      <c r="C20" s="149"/>
      <c r="D20" s="149"/>
      <c r="E20" s="149"/>
      <c r="F20" s="149"/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F20" s="99"/>
    </row>
    <row r="21" spans="1:33" s="98" customFormat="1" ht="14.5" x14ac:dyDescent="0.35">
      <c r="A21" s="111"/>
      <c r="B21" s="101" t="s">
        <v>5</v>
      </c>
      <c r="C21" s="149"/>
      <c r="D21" s="149"/>
      <c r="E21" s="149"/>
      <c r="F21" s="149"/>
      <c r="G21" s="149"/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F21" s="99"/>
    </row>
    <row r="22" spans="1:33" s="98" customFormat="1" ht="14.5" x14ac:dyDescent="0.35">
      <c r="A22" s="111"/>
      <c r="B22" s="112" t="s">
        <v>168</v>
      </c>
      <c r="AF22" s="99"/>
    </row>
    <row r="23" spans="1:33" s="98" customFormat="1" ht="14.5" x14ac:dyDescent="0.35">
      <c r="A23" s="111"/>
      <c r="B23" s="110" t="s">
        <v>1</v>
      </c>
      <c r="C23" s="139">
        <v>1.864443E-2</v>
      </c>
      <c r="D23" s="149">
        <v>8.7817500000000007E-2</v>
      </c>
      <c r="E23" s="149">
        <v>6.7063899999999996E-2</v>
      </c>
      <c r="F23" s="149">
        <v>0</v>
      </c>
      <c r="G23" s="149">
        <v>0</v>
      </c>
      <c r="H23" s="149">
        <v>0</v>
      </c>
      <c r="I23" s="149">
        <v>0</v>
      </c>
      <c r="J23" s="149">
        <v>0.1196555</v>
      </c>
      <c r="K23" s="149">
        <v>0</v>
      </c>
      <c r="L23" s="149">
        <v>0</v>
      </c>
      <c r="M23" s="149">
        <v>0</v>
      </c>
      <c r="N23" s="149">
        <v>0</v>
      </c>
      <c r="O23" s="149">
        <v>0</v>
      </c>
      <c r="P23" s="149">
        <v>0</v>
      </c>
      <c r="Q23" s="149">
        <v>7.4858599999999997E-2</v>
      </c>
      <c r="R23" s="149">
        <v>0.1212041</v>
      </c>
      <c r="S23" s="149">
        <v>0</v>
      </c>
      <c r="T23" s="149">
        <v>6.72764E-2</v>
      </c>
      <c r="U23" s="149">
        <v>0</v>
      </c>
      <c r="V23" s="149">
        <v>0</v>
      </c>
      <c r="W23" s="149">
        <v>0</v>
      </c>
      <c r="X23" s="149">
        <v>0</v>
      </c>
      <c r="Y23" s="149">
        <v>0</v>
      </c>
      <c r="Z23" s="149">
        <v>0.1559931</v>
      </c>
      <c r="AA23" s="149">
        <v>0</v>
      </c>
      <c r="AB23" s="149">
        <v>0</v>
      </c>
      <c r="AC23" s="149">
        <v>0</v>
      </c>
      <c r="AE23" s="98" t="s">
        <v>242</v>
      </c>
      <c r="AF23" s="99"/>
    </row>
    <row r="24" spans="1:33" s="98" customFormat="1" ht="14.5" x14ac:dyDescent="0.35">
      <c r="A24" s="111"/>
      <c r="B24" s="110" t="s">
        <v>2</v>
      </c>
      <c r="C24" s="139">
        <v>0.30473650000000002</v>
      </c>
      <c r="D24" s="149">
        <v>0.45908189999999999</v>
      </c>
      <c r="E24" s="149">
        <v>0.45914460000000001</v>
      </c>
      <c r="F24" s="149">
        <v>0.32487650000000001</v>
      </c>
      <c r="G24" s="149">
        <v>0.31012279999999998</v>
      </c>
      <c r="H24" s="149">
        <v>0.42264249999999998</v>
      </c>
      <c r="I24" s="149">
        <v>9.4858100000000001E-2</v>
      </c>
      <c r="J24" s="149">
        <v>0.1303492</v>
      </c>
      <c r="K24" s="149">
        <v>0.31910189999999999</v>
      </c>
      <c r="L24" s="149">
        <v>0.2187567</v>
      </c>
      <c r="M24" s="149">
        <v>0.26606629999999998</v>
      </c>
      <c r="N24" s="149">
        <v>0.39286070000000001</v>
      </c>
      <c r="O24" s="149">
        <v>0.22754450000000001</v>
      </c>
      <c r="P24" s="149">
        <v>0.278868</v>
      </c>
      <c r="Q24" s="149">
        <v>0.3875613</v>
      </c>
      <c r="R24" s="149">
        <v>0.20820739999999999</v>
      </c>
      <c r="S24" s="149">
        <v>0.62574189999999996</v>
      </c>
      <c r="T24" s="149">
        <v>0.22757939999999999</v>
      </c>
      <c r="U24" s="149">
        <v>0.45629399999999998</v>
      </c>
      <c r="V24" s="149">
        <v>0.32747579999999998</v>
      </c>
      <c r="W24" s="149">
        <v>0.1660547</v>
      </c>
      <c r="X24" s="149">
        <v>0.13892489999999999</v>
      </c>
      <c r="Y24" s="149">
        <v>9.5724900000000002E-2</v>
      </c>
      <c r="Z24" s="149">
        <v>0.1489009</v>
      </c>
      <c r="AA24" s="149">
        <v>0.22294939999999999</v>
      </c>
      <c r="AB24" s="149">
        <v>0.29624479999999997</v>
      </c>
      <c r="AC24" s="149">
        <v>0.2064763</v>
      </c>
      <c r="AE24" s="98" t="s">
        <v>242</v>
      </c>
      <c r="AF24" s="99"/>
    </row>
    <row r="25" spans="1:33" s="98" customFormat="1" ht="14.5" x14ac:dyDescent="0.35">
      <c r="A25" s="111"/>
      <c r="B25" s="110" t="s">
        <v>3</v>
      </c>
      <c r="C25" s="139">
        <v>0.97464609000000002</v>
      </c>
      <c r="D25" s="142">
        <v>0.93142349999999996</v>
      </c>
      <c r="E25" s="142">
        <v>0.9587755</v>
      </c>
      <c r="F25" s="142">
        <v>0.98154140000000001</v>
      </c>
      <c r="G25" s="142">
        <v>0.97220309999999999</v>
      </c>
      <c r="H25" s="142">
        <v>0.93280260000000004</v>
      </c>
      <c r="I25" s="142">
        <v>0.87429730000000005</v>
      </c>
      <c r="J25" s="142">
        <v>1</v>
      </c>
      <c r="K25" s="142">
        <v>0.93439240000000001</v>
      </c>
      <c r="L25" s="142">
        <v>1</v>
      </c>
      <c r="M25" s="142">
        <v>1</v>
      </c>
      <c r="N25" s="142">
        <v>0.98100569999999998</v>
      </c>
      <c r="O25" s="142">
        <v>0.99308859999999999</v>
      </c>
      <c r="P25" s="142">
        <v>1</v>
      </c>
      <c r="Q25" s="142">
        <v>1</v>
      </c>
      <c r="R25" s="142">
        <v>0.99086799999999997</v>
      </c>
      <c r="S25" s="142">
        <v>0.97776209999999997</v>
      </c>
      <c r="T25" s="142">
        <v>0.97423119999999996</v>
      </c>
      <c r="U25" s="142">
        <v>0.97742530000000005</v>
      </c>
      <c r="V25" s="142">
        <v>0.99347719999999995</v>
      </c>
      <c r="W25" s="142">
        <v>0.91892240000000003</v>
      </c>
      <c r="X25" s="142">
        <v>0.99142129999999995</v>
      </c>
      <c r="Y25" s="142">
        <v>0.99616709999999997</v>
      </c>
      <c r="Z25" s="142">
        <v>0.98233289999999995</v>
      </c>
      <c r="AA25" s="142">
        <v>1</v>
      </c>
      <c r="AB25" s="142">
        <v>1</v>
      </c>
      <c r="AC25" s="142">
        <v>0.97858540000000005</v>
      </c>
      <c r="AE25" s="98" t="s">
        <v>242</v>
      </c>
      <c r="AF25" s="99"/>
    </row>
    <row r="26" spans="1:33" s="98" customFormat="1" ht="14.5" x14ac:dyDescent="0.35">
      <c r="A26" s="111"/>
      <c r="B26" s="110" t="s">
        <v>4</v>
      </c>
      <c r="C26" s="139">
        <v>0.81968302000000004</v>
      </c>
      <c r="D26" s="142">
        <v>0.66051130000000002</v>
      </c>
      <c r="E26" s="142">
        <v>0.96370319999999998</v>
      </c>
      <c r="F26" s="142">
        <v>0.88201940000000001</v>
      </c>
      <c r="G26" s="142">
        <v>0.87321939999999998</v>
      </c>
      <c r="H26" s="142">
        <v>0.73807800000000001</v>
      </c>
      <c r="I26" s="142">
        <v>0.70960690000000004</v>
      </c>
      <c r="J26" s="142">
        <v>0.84767409999999999</v>
      </c>
      <c r="K26" s="142">
        <v>0.84550959999999997</v>
      </c>
      <c r="L26" s="142">
        <v>0.82804690000000003</v>
      </c>
      <c r="M26" s="142">
        <v>0.75737109999999996</v>
      </c>
      <c r="N26" s="142">
        <v>0.90403520000000004</v>
      </c>
      <c r="O26" s="142">
        <v>0.81574480000000005</v>
      </c>
      <c r="P26" s="142">
        <v>0.82835060000000005</v>
      </c>
      <c r="Q26" s="142">
        <v>0.86545749999999999</v>
      </c>
      <c r="R26" s="142">
        <v>0.76478190000000001</v>
      </c>
      <c r="S26" s="142">
        <v>0.66194350000000002</v>
      </c>
      <c r="T26" s="142">
        <v>0.81283070000000002</v>
      </c>
      <c r="U26" s="142">
        <v>0.67534000000000005</v>
      </c>
      <c r="V26" s="142">
        <v>0.93050980000000005</v>
      </c>
      <c r="W26" s="142">
        <v>0.90827480000000005</v>
      </c>
      <c r="X26" s="142">
        <v>0.8886925</v>
      </c>
      <c r="Y26" s="142">
        <v>0.69069769999999997</v>
      </c>
      <c r="Z26" s="142">
        <v>0.78248870000000004</v>
      </c>
      <c r="AA26" s="142">
        <v>0.85887420000000003</v>
      </c>
      <c r="AB26" s="142">
        <v>0.82722150000000005</v>
      </c>
      <c r="AC26" s="142">
        <v>0.87522200000000006</v>
      </c>
      <c r="AE26" s="98" t="s">
        <v>242</v>
      </c>
      <c r="AF26" s="99"/>
    </row>
    <row r="27" spans="1:33" s="98" customFormat="1" ht="14.5" x14ac:dyDescent="0.35">
      <c r="A27" s="111"/>
      <c r="B27" s="110" t="s">
        <v>5</v>
      </c>
      <c r="C27" s="139">
        <v>0.16946613999999999</v>
      </c>
      <c r="D27" s="142">
        <v>4.5005799999999999E-2</v>
      </c>
      <c r="E27" s="142">
        <v>0.31377189999999999</v>
      </c>
      <c r="F27" s="142">
        <v>0.2170716</v>
      </c>
      <c r="G27" s="142">
        <v>0.1381558</v>
      </c>
      <c r="H27" s="142">
        <v>8.5167400000000004E-2</v>
      </c>
      <c r="I27" s="142">
        <v>9.0500200000000003E-2</v>
      </c>
      <c r="J27" s="142">
        <v>0.2043528</v>
      </c>
      <c r="K27" s="142">
        <v>0.10314039999999999</v>
      </c>
      <c r="L27" s="142">
        <v>5.7929899999999999E-2</v>
      </c>
      <c r="M27" s="142">
        <v>0.1560512</v>
      </c>
      <c r="N27" s="142">
        <v>0.40674670000000002</v>
      </c>
      <c r="O27" s="142">
        <v>0.28048299999999998</v>
      </c>
      <c r="P27" s="142">
        <v>0.13487089999999999</v>
      </c>
      <c r="Q27" s="142">
        <v>0.17880509999999999</v>
      </c>
      <c r="R27" s="142">
        <v>0.14204069999999999</v>
      </c>
      <c r="S27" s="142">
        <v>0.1159123</v>
      </c>
      <c r="T27" s="142">
        <v>0.1835745</v>
      </c>
      <c r="U27" s="142">
        <v>0.13053400000000001</v>
      </c>
      <c r="V27" s="142">
        <v>0.12664220000000001</v>
      </c>
      <c r="W27" s="142">
        <v>8.0342899999999995E-2</v>
      </c>
      <c r="X27" s="142">
        <v>0.26493509999999998</v>
      </c>
      <c r="Y27" s="142">
        <v>1.6511399999999999E-2</v>
      </c>
      <c r="Z27" s="142">
        <v>6.1289000000000003E-2</v>
      </c>
      <c r="AA27" s="142">
        <v>0.2245731</v>
      </c>
      <c r="AB27" s="142">
        <v>4.8443E-2</v>
      </c>
      <c r="AC27" s="142">
        <v>0.30281730000000001</v>
      </c>
      <c r="AE27" s="98" t="s">
        <v>242</v>
      </c>
      <c r="AF27" s="99"/>
    </row>
    <row r="28" spans="1:33" s="98" customFormat="1" ht="14.5" x14ac:dyDescent="0.35">
      <c r="A28" s="111"/>
      <c r="B28" s="109" t="s">
        <v>169</v>
      </c>
      <c r="AF28" s="99"/>
    </row>
    <row r="29" spans="1:33" s="98" customFormat="1" ht="14.5" x14ac:dyDescent="0.35">
      <c r="A29" s="111"/>
      <c r="B29" s="105" t="s">
        <v>1</v>
      </c>
      <c r="C29" s="139">
        <v>5.0835300000000002E-3</v>
      </c>
      <c r="D29" s="139">
        <v>0.1449261</v>
      </c>
      <c r="E29" s="139">
        <v>0</v>
      </c>
      <c r="F29" s="139">
        <v>0</v>
      </c>
      <c r="G29" s="139">
        <v>0</v>
      </c>
      <c r="H29" s="139">
        <v>0</v>
      </c>
      <c r="I29" s="139">
        <v>0</v>
      </c>
      <c r="J29" s="139">
        <v>0</v>
      </c>
      <c r="K29" s="139">
        <v>0</v>
      </c>
      <c r="L29" s="139">
        <v>0</v>
      </c>
      <c r="M29" s="139">
        <v>0</v>
      </c>
      <c r="N29" s="139">
        <v>0</v>
      </c>
      <c r="O29" s="139">
        <v>0</v>
      </c>
      <c r="P29" s="139">
        <v>0</v>
      </c>
      <c r="Q29" s="139">
        <v>0</v>
      </c>
      <c r="R29" s="139">
        <v>0</v>
      </c>
      <c r="S29" s="139">
        <v>0</v>
      </c>
      <c r="T29" s="139">
        <v>0</v>
      </c>
      <c r="U29" s="139">
        <v>0</v>
      </c>
      <c r="V29" s="139">
        <v>0</v>
      </c>
      <c r="W29" s="139">
        <v>0</v>
      </c>
      <c r="X29" s="139">
        <v>0</v>
      </c>
      <c r="Y29" s="139">
        <v>0</v>
      </c>
      <c r="Z29" s="139">
        <v>0</v>
      </c>
      <c r="AA29" s="139">
        <v>0</v>
      </c>
      <c r="AB29" s="139">
        <v>0</v>
      </c>
      <c r="AC29" s="139">
        <v>0</v>
      </c>
      <c r="AE29" s="98" t="s">
        <v>242</v>
      </c>
      <c r="AF29" s="99"/>
      <c r="AG29" s="104"/>
    </row>
    <row r="30" spans="1:33" s="98" customFormat="1" ht="14.5" x14ac:dyDescent="0.35">
      <c r="A30" s="111"/>
      <c r="B30" s="105" t="s">
        <v>2</v>
      </c>
      <c r="C30" s="139">
        <v>1.6582599999999999E-2</v>
      </c>
      <c r="D30" s="139">
        <v>1.7781700000000001E-2</v>
      </c>
      <c r="E30" s="139">
        <v>3.0797399999999999E-2</v>
      </c>
      <c r="F30" s="139">
        <v>0</v>
      </c>
      <c r="G30" s="139">
        <v>1.0758500000000001E-2</v>
      </c>
      <c r="H30" s="139">
        <v>1.0380000000000001E-3</v>
      </c>
      <c r="I30" s="139">
        <v>8.5026199999999996E-2</v>
      </c>
      <c r="J30" s="139">
        <v>0</v>
      </c>
      <c r="K30" s="139">
        <v>7.8562000000000007E-3</v>
      </c>
      <c r="L30" s="139">
        <v>0</v>
      </c>
      <c r="M30" s="139">
        <v>0</v>
      </c>
      <c r="N30" s="139">
        <v>0</v>
      </c>
      <c r="O30" s="139">
        <v>0</v>
      </c>
      <c r="P30" s="139">
        <v>0</v>
      </c>
      <c r="Q30" s="139">
        <v>0</v>
      </c>
      <c r="R30" s="139">
        <v>2.4946900000000001E-2</v>
      </c>
      <c r="S30" s="139">
        <v>7.1427000000000001E-3</v>
      </c>
      <c r="T30" s="139">
        <v>3.0157300000000001E-2</v>
      </c>
      <c r="U30" s="139">
        <v>0</v>
      </c>
      <c r="V30" s="139">
        <v>0</v>
      </c>
      <c r="W30" s="139">
        <v>2.8987700000000002E-2</v>
      </c>
      <c r="X30" s="139">
        <v>2.7444099999999999E-2</v>
      </c>
      <c r="Y30" s="139">
        <v>0</v>
      </c>
      <c r="Z30" s="139">
        <v>0</v>
      </c>
      <c r="AA30" s="139">
        <v>5.8446199999999997E-2</v>
      </c>
      <c r="AB30" s="139">
        <v>0</v>
      </c>
      <c r="AC30" s="139">
        <v>4.9849600000000001E-2</v>
      </c>
      <c r="AE30" s="98" t="s">
        <v>242</v>
      </c>
      <c r="AF30" s="99"/>
      <c r="AG30" s="104"/>
    </row>
    <row r="31" spans="1:33" s="98" customFormat="1" ht="14.5" x14ac:dyDescent="0.35">
      <c r="A31" s="111"/>
      <c r="B31" s="105" t="s">
        <v>3</v>
      </c>
      <c r="C31" s="139">
        <f>1-C25</f>
        <v>2.535390999999998E-2</v>
      </c>
      <c r="D31" s="139">
        <f t="shared" ref="D31:AC31" si="1">1-D25</f>
        <v>6.857650000000004E-2</v>
      </c>
      <c r="E31" s="139">
        <f t="shared" si="1"/>
        <v>4.1224499999999997E-2</v>
      </c>
      <c r="F31" s="139">
        <f t="shared" si="1"/>
        <v>1.8458599999999992E-2</v>
      </c>
      <c r="G31" s="139">
        <f t="shared" si="1"/>
        <v>2.7796900000000013E-2</v>
      </c>
      <c r="H31" s="139">
        <f t="shared" si="1"/>
        <v>6.7197399999999963E-2</v>
      </c>
      <c r="I31" s="139">
        <f t="shared" si="1"/>
        <v>0.12570269999999995</v>
      </c>
      <c r="J31" s="139">
        <f t="shared" si="1"/>
        <v>0</v>
      </c>
      <c r="K31" s="139">
        <f t="shared" si="1"/>
        <v>6.5607599999999988E-2</v>
      </c>
      <c r="L31" s="139">
        <f t="shared" si="1"/>
        <v>0</v>
      </c>
      <c r="M31" s="139">
        <f t="shared" si="1"/>
        <v>0</v>
      </c>
      <c r="N31" s="139">
        <f t="shared" si="1"/>
        <v>1.899430000000002E-2</v>
      </c>
      <c r="O31" s="139">
        <f t="shared" si="1"/>
        <v>6.911400000000012E-3</v>
      </c>
      <c r="P31" s="139">
        <f t="shared" si="1"/>
        <v>0</v>
      </c>
      <c r="Q31" s="139">
        <f t="shared" si="1"/>
        <v>0</v>
      </c>
      <c r="R31" s="139">
        <f t="shared" si="1"/>
        <v>9.132000000000029E-3</v>
      </c>
      <c r="S31" s="139">
        <f t="shared" si="1"/>
        <v>2.2237900000000033E-2</v>
      </c>
      <c r="T31" s="139">
        <f t="shared" si="1"/>
        <v>2.5768800000000036E-2</v>
      </c>
      <c r="U31" s="139">
        <f t="shared" si="1"/>
        <v>2.2574699999999948E-2</v>
      </c>
      <c r="V31" s="139">
        <f t="shared" si="1"/>
        <v>6.5228000000000508E-3</v>
      </c>
      <c r="W31" s="139">
        <f t="shared" si="1"/>
        <v>8.1077599999999972E-2</v>
      </c>
      <c r="X31" s="139">
        <f t="shared" si="1"/>
        <v>8.5787000000000502E-3</v>
      </c>
      <c r="Y31" s="139">
        <f t="shared" si="1"/>
        <v>3.832900000000028E-3</v>
      </c>
      <c r="Z31" s="139">
        <f t="shared" si="1"/>
        <v>1.7667100000000047E-2</v>
      </c>
      <c r="AA31" s="139">
        <f t="shared" si="1"/>
        <v>0</v>
      </c>
      <c r="AB31" s="139">
        <f t="shared" si="1"/>
        <v>0</v>
      </c>
      <c r="AC31" s="139">
        <f t="shared" si="1"/>
        <v>2.141459999999995E-2</v>
      </c>
      <c r="AE31" s="98" t="s">
        <v>242</v>
      </c>
      <c r="AF31" s="99"/>
      <c r="AG31" s="104"/>
    </row>
    <row r="32" spans="1:33" s="98" customFormat="1" ht="14.5" x14ac:dyDescent="0.35">
      <c r="A32" s="111"/>
      <c r="B32" s="105" t="s">
        <v>4</v>
      </c>
      <c r="C32" s="139">
        <f>1-C26</f>
        <v>0.18031697999999996</v>
      </c>
      <c r="D32" s="139">
        <f t="shared" ref="D32:AC32" si="2">1-D26</f>
        <v>0.33948869999999998</v>
      </c>
      <c r="E32" s="139">
        <f t="shared" si="2"/>
        <v>3.6296800000000018E-2</v>
      </c>
      <c r="F32" s="139">
        <f t="shared" si="2"/>
        <v>0.11798059999999999</v>
      </c>
      <c r="G32" s="139">
        <f t="shared" si="2"/>
        <v>0.12678060000000002</v>
      </c>
      <c r="H32" s="139">
        <f t="shared" si="2"/>
        <v>0.26192199999999999</v>
      </c>
      <c r="I32" s="139">
        <f t="shared" si="2"/>
        <v>0.29039309999999996</v>
      </c>
      <c r="J32" s="139">
        <f t="shared" si="2"/>
        <v>0.15232590000000001</v>
      </c>
      <c r="K32" s="139">
        <f t="shared" si="2"/>
        <v>0.15449040000000003</v>
      </c>
      <c r="L32" s="139">
        <f t="shared" si="2"/>
        <v>0.17195309999999997</v>
      </c>
      <c r="M32" s="139">
        <f t="shared" si="2"/>
        <v>0.24262890000000004</v>
      </c>
      <c r="N32" s="139">
        <f t="shared" si="2"/>
        <v>9.5964799999999961E-2</v>
      </c>
      <c r="O32" s="139">
        <f t="shared" si="2"/>
        <v>0.18425519999999995</v>
      </c>
      <c r="P32" s="139">
        <f t="shared" si="2"/>
        <v>0.17164939999999995</v>
      </c>
      <c r="Q32" s="139">
        <f t="shared" si="2"/>
        <v>0.13454250000000001</v>
      </c>
      <c r="R32" s="139">
        <f t="shared" si="2"/>
        <v>0.23521809999999999</v>
      </c>
      <c r="S32" s="139">
        <f t="shared" si="2"/>
        <v>0.33805649999999998</v>
      </c>
      <c r="T32" s="139">
        <f t="shared" si="2"/>
        <v>0.18716929999999998</v>
      </c>
      <c r="U32" s="139">
        <f t="shared" si="2"/>
        <v>0.32465999999999995</v>
      </c>
      <c r="V32" s="139">
        <f t="shared" si="2"/>
        <v>6.9490199999999946E-2</v>
      </c>
      <c r="W32" s="139">
        <f t="shared" si="2"/>
        <v>9.1725199999999951E-2</v>
      </c>
      <c r="X32" s="139">
        <f t="shared" si="2"/>
        <v>0.1113075</v>
      </c>
      <c r="Y32" s="139">
        <f t="shared" si="2"/>
        <v>0.30930230000000003</v>
      </c>
      <c r="Z32" s="139">
        <f t="shared" si="2"/>
        <v>0.21751129999999996</v>
      </c>
      <c r="AA32" s="139">
        <f t="shared" si="2"/>
        <v>0.14112579999999997</v>
      </c>
      <c r="AB32" s="139">
        <f t="shared" si="2"/>
        <v>0.17277849999999995</v>
      </c>
      <c r="AC32" s="139">
        <f t="shared" si="2"/>
        <v>0.12477799999999994</v>
      </c>
      <c r="AE32" s="98" t="s">
        <v>242</v>
      </c>
      <c r="AF32" s="99"/>
      <c r="AG32" s="104"/>
    </row>
    <row r="33" spans="1:33" s="98" customFormat="1" ht="14.5" x14ac:dyDescent="0.35">
      <c r="A33" s="111"/>
      <c r="B33" s="105" t="s">
        <v>5</v>
      </c>
      <c r="C33" s="139">
        <f>1-C27</f>
        <v>0.83053386000000007</v>
      </c>
      <c r="D33" s="139">
        <f t="shared" ref="D33:AC33" si="3">1-D27</f>
        <v>0.95499420000000002</v>
      </c>
      <c r="E33" s="139">
        <f t="shared" si="3"/>
        <v>0.68622810000000001</v>
      </c>
      <c r="F33" s="139">
        <f t="shared" si="3"/>
        <v>0.78292839999999997</v>
      </c>
      <c r="G33" s="139">
        <f t="shared" si="3"/>
        <v>0.86184419999999995</v>
      </c>
      <c r="H33" s="139">
        <f t="shared" si="3"/>
        <v>0.9148326</v>
      </c>
      <c r="I33" s="139">
        <f t="shared" si="3"/>
        <v>0.90949979999999997</v>
      </c>
      <c r="J33" s="139">
        <f t="shared" si="3"/>
        <v>0.7956472</v>
      </c>
      <c r="K33" s="139">
        <f t="shared" si="3"/>
        <v>0.89685959999999998</v>
      </c>
      <c r="L33" s="139">
        <f t="shared" si="3"/>
        <v>0.94207010000000002</v>
      </c>
      <c r="M33" s="139">
        <f t="shared" si="3"/>
        <v>0.84394879999999994</v>
      </c>
      <c r="N33" s="139">
        <f t="shared" si="3"/>
        <v>0.59325329999999998</v>
      </c>
      <c r="O33" s="139">
        <f t="shared" si="3"/>
        <v>0.71951699999999996</v>
      </c>
      <c r="P33" s="139">
        <f t="shared" si="3"/>
        <v>0.86512909999999998</v>
      </c>
      <c r="Q33" s="139">
        <f t="shared" si="3"/>
        <v>0.82119490000000006</v>
      </c>
      <c r="R33" s="139">
        <f t="shared" si="3"/>
        <v>0.85795929999999998</v>
      </c>
      <c r="S33" s="139">
        <f t="shared" si="3"/>
        <v>0.88408770000000003</v>
      </c>
      <c r="T33" s="139">
        <f t="shared" si="3"/>
        <v>0.81642550000000003</v>
      </c>
      <c r="U33" s="139">
        <f t="shared" si="3"/>
        <v>0.86946599999999996</v>
      </c>
      <c r="V33" s="139">
        <f t="shared" si="3"/>
        <v>0.87335779999999996</v>
      </c>
      <c r="W33" s="139">
        <f t="shared" si="3"/>
        <v>0.91965710000000001</v>
      </c>
      <c r="X33" s="139">
        <f t="shared" si="3"/>
        <v>0.73506490000000002</v>
      </c>
      <c r="Y33" s="139">
        <f t="shared" si="3"/>
        <v>0.98348860000000005</v>
      </c>
      <c r="Z33" s="139">
        <f t="shared" si="3"/>
        <v>0.93871099999999996</v>
      </c>
      <c r="AA33" s="139">
        <f t="shared" si="3"/>
        <v>0.77542690000000003</v>
      </c>
      <c r="AB33" s="139">
        <f t="shared" si="3"/>
        <v>0.95155699999999999</v>
      </c>
      <c r="AC33" s="139">
        <f t="shared" si="3"/>
        <v>0.69718269999999993</v>
      </c>
      <c r="AE33" s="98" t="s">
        <v>242</v>
      </c>
      <c r="AF33" s="99"/>
      <c r="AG33" s="104"/>
    </row>
    <row r="35" spans="1:33" x14ac:dyDescent="0.25">
      <c r="C35" s="113"/>
    </row>
  </sheetData>
  <mergeCells count="1">
    <mergeCell ref="H2:H5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60" zoomScaleNormal="60" workbookViewId="0">
      <selection activeCell="G35" sqref="G35"/>
    </sheetView>
  </sheetViews>
  <sheetFormatPr defaultColWidth="8.81640625" defaultRowHeight="12.5" x14ac:dyDescent="0.25"/>
  <cols>
    <col min="1" max="1" width="37" customWidth="1"/>
    <col min="2" max="2" width="29.36328125" customWidth="1"/>
  </cols>
  <sheetData>
    <row r="1" spans="1:11" ht="13" x14ac:dyDescent="0.3">
      <c r="A1" s="4" t="s">
        <v>139</v>
      </c>
      <c r="B1" s="4" t="s">
        <v>146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140</v>
      </c>
      <c r="B2" s="17" t="s">
        <v>144</v>
      </c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25">
      <c r="B3" s="17"/>
    </row>
    <row r="4" spans="1:11" x14ac:dyDescent="0.25">
      <c r="A4" t="s">
        <v>141</v>
      </c>
      <c r="B4" s="17" t="s">
        <v>144</v>
      </c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25">
      <c r="B5" s="17"/>
    </row>
    <row r="6" spans="1:11" x14ac:dyDescent="0.25">
      <c r="A6" t="s">
        <v>142</v>
      </c>
      <c r="B6" s="17" t="s">
        <v>144</v>
      </c>
      <c r="C6" s="32"/>
      <c r="D6" s="32"/>
      <c r="E6" s="32"/>
      <c r="F6" s="32"/>
      <c r="G6" s="32"/>
      <c r="H6" s="32"/>
      <c r="I6" s="32"/>
      <c r="J6" s="32"/>
      <c r="K6" s="32"/>
    </row>
    <row r="7" spans="1:11" x14ac:dyDescent="0.25">
      <c r="B7" s="17" t="s">
        <v>32</v>
      </c>
      <c r="C7" s="32"/>
      <c r="D7" s="32"/>
      <c r="E7" s="32"/>
      <c r="F7" s="32"/>
      <c r="G7" s="32"/>
      <c r="H7" s="32"/>
      <c r="I7" s="32"/>
      <c r="J7" s="32"/>
      <c r="K7" s="32"/>
    </row>
    <row r="8" spans="1:11" x14ac:dyDescent="0.25">
      <c r="B8" s="17" t="s">
        <v>145</v>
      </c>
      <c r="C8" s="32"/>
      <c r="D8" s="32"/>
      <c r="E8" s="32"/>
      <c r="F8" s="32"/>
      <c r="G8" s="32"/>
      <c r="H8" s="32"/>
      <c r="I8" s="32"/>
      <c r="J8" s="32"/>
      <c r="K8" s="32"/>
    </row>
    <row r="10" spans="1:11" x14ac:dyDescent="0.25">
      <c r="A10" t="s">
        <v>143</v>
      </c>
      <c r="B10" s="19" t="s">
        <v>148</v>
      </c>
      <c r="C10" s="32"/>
      <c r="D10" s="32"/>
      <c r="E10" s="32"/>
      <c r="F10" s="32"/>
      <c r="G10" s="32"/>
      <c r="H10" s="32"/>
      <c r="I10" s="32"/>
      <c r="J10" s="32"/>
      <c r="K10" s="32"/>
    </row>
    <row r="11" spans="1:11" x14ac:dyDescent="0.25">
      <c r="B11" s="39" t="s">
        <v>147</v>
      </c>
      <c r="C11" s="32"/>
      <c r="D11" s="32"/>
      <c r="E11" s="32"/>
      <c r="F11" s="32"/>
      <c r="G11" s="32"/>
      <c r="H11" s="32"/>
      <c r="I11" s="32"/>
      <c r="J11" s="32"/>
      <c r="K11" s="32"/>
    </row>
    <row r="13" spans="1:11" x14ac:dyDescent="0.25">
      <c r="A13" s="15" t="s">
        <v>74</v>
      </c>
      <c r="B13" s="39" t="s">
        <v>149</v>
      </c>
      <c r="C13" s="32"/>
      <c r="D13" s="32"/>
      <c r="E13" s="32"/>
      <c r="F13" s="32"/>
      <c r="G13" s="32"/>
      <c r="H13" s="32"/>
      <c r="I13" s="32"/>
      <c r="J13" s="32"/>
      <c r="K13" s="32"/>
    </row>
    <row r="14" spans="1:11" x14ac:dyDescent="0.25">
      <c r="B14" s="19" t="s">
        <v>170</v>
      </c>
      <c r="C14" s="32"/>
      <c r="D14" s="32"/>
      <c r="E14" s="32"/>
      <c r="F14" s="32"/>
      <c r="G14" s="32"/>
      <c r="H14" s="32"/>
      <c r="I14" s="32"/>
      <c r="J14" s="32"/>
      <c r="K14" s="3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60" zoomScaleNormal="60" workbookViewId="0">
      <selection activeCell="J1" sqref="J1"/>
    </sheetView>
  </sheetViews>
  <sheetFormatPr defaultColWidth="11.36328125" defaultRowHeight="12.5" x14ac:dyDescent="0.25"/>
  <cols>
    <col min="1" max="1" width="17" style="42" customWidth="1"/>
    <col min="2" max="2" width="19.08984375" style="42" customWidth="1"/>
    <col min="3" max="3" width="13.36328125" style="42" customWidth="1"/>
    <col min="4" max="16384" width="11.36328125" style="42"/>
  </cols>
  <sheetData>
    <row r="1" spans="1:5" ht="13" x14ac:dyDescent="0.3">
      <c r="A1" s="55" t="s">
        <v>177</v>
      </c>
      <c r="B1" s="56" t="s">
        <v>176</v>
      </c>
      <c r="C1" s="56" t="s">
        <v>175</v>
      </c>
      <c r="D1" s="56" t="s">
        <v>174</v>
      </c>
      <c r="E1" s="56" t="s">
        <v>173</v>
      </c>
    </row>
    <row r="2" spans="1:5" ht="13" x14ac:dyDescent="0.3">
      <c r="A2" s="54" t="s">
        <v>172</v>
      </c>
      <c r="B2" s="51" t="s">
        <v>32</v>
      </c>
      <c r="C2" s="75"/>
      <c r="D2" s="75" t="b">
        <v>1</v>
      </c>
      <c r="E2" s="76" t="b">
        <f>IF(E$7="","",E$7)</f>
        <v>1</v>
      </c>
    </row>
    <row r="3" spans="1:5" x14ac:dyDescent="0.25">
      <c r="A3" s="52"/>
      <c r="B3" s="51" t="s">
        <v>1</v>
      </c>
      <c r="C3" s="75"/>
      <c r="D3" s="75" t="b">
        <v>1</v>
      </c>
      <c r="E3" s="76" t="b">
        <f>IF(E$7="","",E$7)</f>
        <v>1</v>
      </c>
    </row>
    <row r="4" spans="1:5" x14ac:dyDescent="0.25">
      <c r="A4" s="52"/>
      <c r="B4" s="51" t="s">
        <v>2</v>
      </c>
      <c r="C4" s="75"/>
      <c r="D4" s="75" t="b">
        <v>1</v>
      </c>
      <c r="E4" s="76" t="b">
        <f>IF(E$7="","",E$7)</f>
        <v>1</v>
      </c>
    </row>
    <row r="5" spans="1:5" x14ac:dyDescent="0.25">
      <c r="A5" s="52"/>
      <c r="B5" s="51" t="s">
        <v>3</v>
      </c>
      <c r="C5" s="75"/>
      <c r="D5" s="75" t="b">
        <v>1</v>
      </c>
      <c r="E5" s="76" t="b">
        <f>IF(E$7="","",E$7)</f>
        <v>1</v>
      </c>
    </row>
    <row r="6" spans="1:5" x14ac:dyDescent="0.25">
      <c r="A6" s="52"/>
      <c r="B6" s="51" t="s">
        <v>4</v>
      </c>
      <c r="C6" s="75"/>
      <c r="D6" s="75" t="b">
        <v>1</v>
      </c>
      <c r="E6" s="76" t="b">
        <f>IF(E$7="","",E$7)</f>
        <v>1</v>
      </c>
    </row>
    <row r="7" spans="1:5" x14ac:dyDescent="0.25">
      <c r="A7" s="52"/>
      <c r="B7" s="51" t="s">
        <v>171</v>
      </c>
      <c r="C7" s="77"/>
      <c r="D7" s="78"/>
      <c r="E7" s="75" t="b">
        <v>1</v>
      </c>
    </row>
    <row r="8" spans="1:5" x14ac:dyDescent="0.25">
      <c r="C8" s="79"/>
      <c r="D8" s="79"/>
      <c r="E8" s="79"/>
    </row>
    <row r="9" spans="1:5" ht="13" x14ac:dyDescent="0.3">
      <c r="A9" s="54" t="s">
        <v>199</v>
      </c>
      <c r="B9" s="51" t="s">
        <v>32</v>
      </c>
      <c r="C9" s="75" t="b">
        <v>1</v>
      </c>
      <c r="D9" s="75"/>
      <c r="E9" s="76" t="b">
        <f>IF(E$7="","",E$7)</f>
        <v>1</v>
      </c>
    </row>
    <row r="10" spans="1:5" x14ac:dyDescent="0.25">
      <c r="A10" s="52"/>
      <c r="B10" s="51" t="s">
        <v>1</v>
      </c>
      <c r="C10" s="75" t="b">
        <v>1</v>
      </c>
      <c r="D10" s="75"/>
      <c r="E10" s="76" t="b">
        <f>IF(E$7="","",E$7)</f>
        <v>1</v>
      </c>
    </row>
    <row r="11" spans="1:5" x14ac:dyDescent="0.25">
      <c r="A11" s="52"/>
      <c r="B11" s="51" t="s">
        <v>2</v>
      </c>
      <c r="C11" s="75" t="b">
        <v>1</v>
      </c>
      <c r="D11" s="75"/>
      <c r="E11" s="76" t="b">
        <f>IF(E$7="","",E$7)</f>
        <v>1</v>
      </c>
    </row>
    <row r="12" spans="1:5" x14ac:dyDescent="0.25">
      <c r="A12" s="52"/>
      <c r="B12" s="51" t="s">
        <v>3</v>
      </c>
      <c r="C12" s="75" t="b">
        <v>1</v>
      </c>
      <c r="D12" s="75"/>
      <c r="E12" s="76" t="b">
        <f>IF(E$7="","",E$7)</f>
        <v>1</v>
      </c>
    </row>
    <row r="13" spans="1:5" x14ac:dyDescent="0.25">
      <c r="A13" s="52"/>
      <c r="B13" s="51" t="s">
        <v>4</v>
      </c>
      <c r="C13" s="75" t="b">
        <v>1</v>
      </c>
      <c r="D13" s="75"/>
      <c r="E13" s="76" t="b">
        <f>IF(E$7="","",E$7)</f>
        <v>1</v>
      </c>
    </row>
    <row r="14" spans="1:5" x14ac:dyDescent="0.25">
      <c r="A14" s="52"/>
      <c r="B14" s="51" t="s">
        <v>171</v>
      </c>
      <c r="C14" s="77"/>
      <c r="D14" s="78"/>
      <c r="E14" s="75"/>
    </row>
    <row r="15" spans="1:5" x14ac:dyDescent="0.25">
      <c r="C15" s="79"/>
      <c r="D15" s="79"/>
      <c r="E15" s="79"/>
    </row>
    <row r="16" spans="1:5" ht="13" x14ac:dyDescent="0.3">
      <c r="A16" s="54" t="s">
        <v>200</v>
      </c>
      <c r="B16" s="51" t="s">
        <v>32</v>
      </c>
      <c r="C16" s="75"/>
      <c r="D16" s="75"/>
      <c r="E16" s="76" t="b">
        <f>IF(E$7="","",E$7)</f>
        <v>1</v>
      </c>
    </row>
    <row r="17" spans="1:5" x14ac:dyDescent="0.25">
      <c r="A17" s="52"/>
      <c r="B17" s="51" t="s">
        <v>1</v>
      </c>
      <c r="C17" s="75"/>
      <c r="D17" s="75"/>
      <c r="E17" s="76" t="b">
        <f>IF(E$7="","",E$7)</f>
        <v>1</v>
      </c>
    </row>
    <row r="18" spans="1:5" x14ac:dyDescent="0.25">
      <c r="A18" s="52"/>
      <c r="B18" s="51" t="s">
        <v>2</v>
      </c>
      <c r="C18" s="75"/>
      <c r="D18" s="75"/>
      <c r="E18" s="76" t="b">
        <f>IF(E$7="","",E$7)</f>
        <v>1</v>
      </c>
    </row>
    <row r="19" spans="1:5" x14ac:dyDescent="0.25">
      <c r="A19" s="52"/>
      <c r="B19" s="51" t="s">
        <v>3</v>
      </c>
      <c r="C19" s="75"/>
      <c r="D19" s="75"/>
      <c r="E19" s="76" t="b">
        <f>IF(E$7="","",E$7)</f>
        <v>1</v>
      </c>
    </row>
    <row r="20" spans="1:5" x14ac:dyDescent="0.25">
      <c r="A20" s="52"/>
      <c r="B20" s="51" t="s">
        <v>4</v>
      </c>
      <c r="C20" s="75"/>
      <c r="D20" s="75"/>
      <c r="E20" s="76" t="b">
        <f>IF(E$7="","",E$7)</f>
        <v>1</v>
      </c>
    </row>
    <row r="21" spans="1:5" x14ac:dyDescent="0.25">
      <c r="A21" s="52"/>
      <c r="B21" s="51" t="s">
        <v>171</v>
      </c>
      <c r="C21" s="77"/>
      <c r="D21" s="78"/>
      <c r="E21" s="75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60" zoomScaleNormal="60" workbookViewId="0">
      <selection activeCell="C7" sqref="C7"/>
    </sheetView>
  </sheetViews>
  <sheetFormatPr defaultColWidth="10.81640625" defaultRowHeight="12.5" x14ac:dyDescent="0.25"/>
  <cols>
    <col min="1" max="1" width="15.54296875" customWidth="1"/>
    <col min="2" max="2" width="15.36328125" customWidth="1"/>
    <col min="3" max="3" width="21" customWidth="1"/>
    <col min="4" max="4" width="12.81640625" customWidth="1"/>
  </cols>
  <sheetData>
    <row r="1" spans="1:4" ht="13" x14ac:dyDescent="0.3">
      <c r="A1" s="71" t="s">
        <v>165</v>
      </c>
      <c r="B1" s="56" t="s">
        <v>180</v>
      </c>
      <c r="C1" s="72" t="s">
        <v>181</v>
      </c>
      <c r="D1" s="72" t="s">
        <v>185</v>
      </c>
    </row>
    <row r="2" spans="1:4" ht="13" x14ac:dyDescent="0.3">
      <c r="A2" s="72" t="s">
        <v>69</v>
      </c>
      <c r="B2" s="51" t="s">
        <v>67</v>
      </c>
      <c r="C2" s="51" t="s">
        <v>182</v>
      </c>
      <c r="D2" s="75"/>
    </row>
    <row r="3" spans="1:4" ht="13" x14ac:dyDescent="0.3">
      <c r="A3" s="72" t="s">
        <v>184</v>
      </c>
      <c r="B3" s="51" t="s">
        <v>175</v>
      </c>
      <c r="C3" s="51" t="s">
        <v>183</v>
      </c>
      <c r="D3" s="7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107" zoomScaleNormal="60" workbookViewId="0">
      <selection activeCell="F5" sqref="F5"/>
    </sheetView>
  </sheetViews>
  <sheetFormatPr defaultColWidth="14.36328125" defaultRowHeight="15.75" customHeight="1" x14ac:dyDescent="0.25"/>
  <cols>
    <col min="1" max="1" width="56" style="57" customWidth="1"/>
    <col min="2" max="2" width="14.36328125" style="42"/>
    <col min="3" max="3" width="20.36328125" style="42" customWidth="1"/>
    <col min="4" max="4" width="20.08984375" style="42" customWidth="1"/>
    <col min="5" max="5" width="12.08984375" style="42" customWidth="1"/>
    <col min="6" max="6" width="26.1796875" style="50" customWidth="1"/>
    <col min="7" max="7" width="15.81640625" style="42" customWidth="1"/>
    <col min="8" max="16384" width="14.36328125" style="42"/>
  </cols>
  <sheetData>
    <row r="1" spans="1:7" ht="56.65" customHeight="1" x14ac:dyDescent="0.35">
      <c r="A1" s="62" t="s">
        <v>69</v>
      </c>
      <c r="B1" s="166" t="s">
        <v>289</v>
      </c>
      <c r="C1" s="61" t="s">
        <v>201</v>
      </c>
      <c r="D1" s="60" t="s">
        <v>202</v>
      </c>
      <c r="E1" s="88" t="s">
        <v>208</v>
      </c>
      <c r="F1" s="124" t="s">
        <v>279</v>
      </c>
      <c r="G1" s="91" t="s">
        <v>209</v>
      </c>
    </row>
    <row r="2" spans="1:7" ht="15.75" customHeight="1" x14ac:dyDescent="0.25">
      <c r="A2" s="57" t="s">
        <v>29</v>
      </c>
      <c r="B2" s="150"/>
      <c r="C2" s="58">
        <v>0.95</v>
      </c>
      <c r="D2" s="59">
        <v>25</v>
      </c>
      <c r="E2" s="89"/>
      <c r="F2" s="90"/>
      <c r="G2" s="89" t="s">
        <v>212</v>
      </c>
    </row>
    <row r="3" spans="1:7" ht="15.75" customHeight="1" x14ac:dyDescent="0.25">
      <c r="A3" s="57" t="s">
        <v>86</v>
      </c>
      <c r="B3" s="150"/>
      <c r="C3" s="58">
        <v>0.95</v>
      </c>
      <c r="D3" s="59">
        <v>1</v>
      </c>
      <c r="E3" s="90"/>
      <c r="F3" s="90"/>
      <c r="G3" s="89" t="s">
        <v>210</v>
      </c>
    </row>
    <row r="4" spans="1:7" ht="15.75" customHeight="1" x14ac:dyDescent="0.25">
      <c r="A4" s="57" t="s">
        <v>61</v>
      </c>
      <c r="B4" s="150"/>
      <c r="C4" s="58">
        <v>0.95</v>
      </c>
      <c r="D4" s="59">
        <f>180</f>
        <v>180</v>
      </c>
      <c r="E4" s="90"/>
      <c r="F4" s="90"/>
      <c r="G4" s="89" t="s">
        <v>210</v>
      </c>
    </row>
    <row r="5" spans="1:7" ht="15.75" customHeight="1" x14ac:dyDescent="0.3">
      <c r="A5" s="92" t="s">
        <v>198</v>
      </c>
      <c r="B5" s="139">
        <v>0.156</v>
      </c>
      <c r="C5" s="58">
        <v>0.95</v>
      </c>
      <c r="D5" s="126">
        <f>SUM('Programs family planning'!E2:E10)</f>
        <v>0.82100000000000006</v>
      </c>
      <c r="E5" s="89" t="s">
        <v>242</v>
      </c>
      <c r="F5" s="125" t="s">
        <v>261</v>
      </c>
      <c r="G5" s="89"/>
    </row>
    <row r="6" spans="1:7" ht="15.75" customHeight="1" x14ac:dyDescent="0.3">
      <c r="A6" s="92"/>
      <c r="B6" s="139">
        <v>0.03</v>
      </c>
      <c r="C6" s="58">
        <v>0.95</v>
      </c>
      <c r="D6" s="126">
        <v>8.2000000000000003E-2</v>
      </c>
      <c r="E6" s="89" t="s">
        <v>242</v>
      </c>
      <c r="F6" s="125" t="s">
        <v>262</v>
      </c>
      <c r="G6" s="89"/>
    </row>
    <row r="7" spans="1:7" ht="15.75" customHeight="1" x14ac:dyDescent="0.25">
      <c r="A7" s="57" t="s">
        <v>63</v>
      </c>
      <c r="B7" s="140"/>
      <c r="C7" s="58">
        <v>0.95</v>
      </c>
      <c r="D7" s="59">
        <v>0.82</v>
      </c>
      <c r="E7" s="89"/>
      <c r="F7" s="90"/>
      <c r="G7" s="89"/>
    </row>
    <row r="8" spans="1:7" ht="15.75" customHeight="1" x14ac:dyDescent="0.25">
      <c r="A8" s="70" t="s">
        <v>187</v>
      </c>
      <c r="B8" s="140"/>
      <c r="C8" s="58">
        <v>0.95</v>
      </c>
      <c r="D8" s="59">
        <v>0.73</v>
      </c>
      <c r="E8" s="89"/>
      <c r="F8" s="90"/>
      <c r="G8" s="89"/>
    </row>
    <row r="9" spans="1:7" ht="15.75" customHeight="1" x14ac:dyDescent="0.25">
      <c r="A9" s="70" t="s">
        <v>188</v>
      </c>
      <c r="B9" s="140"/>
      <c r="C9" s="58">
        <v>0.95</v>
      </c>
      <c r="D9" s="59">
        <v>1.78</v>
      </c>
      <c r="E9" s="89"/>
      <c r="F9" s="90"/>
      <c r="G9" s="89"/>
    </row>
    <row r="10" spans="1:7" ht="15.75" customHeight="1" x14ac:dyDescent="0.25">
      <c r="A10" s="70" t="s">
        <v>189</v>
      </c>
      <c r="B10" s="140"/>
      <c r="C10" s="58">
        <v>0.95</v>
      </c>
      <c r="D10" s="59">
        <v>0.24</v>
      </c>
      <c r="E10" s="89"/>
      <c r="F10" s="90"/>
      <c r="G10" s="89"/>
    </row>
    <row r="11" spans="1:7" ht="15.75" customHeight="1" x14ac:dyDescent="0.25">
      <c r="A11" s="70" t="s">
        <v>190</v>
      </c>
      <c r="B11" s="140"/>
      <c r="C11" s="58">
        <v>0.95</v>
      </c>
      <c r="D11" s="59">
        <v>0.55000000000000004</v>
      </c>
      <c r="E11" s="89"/>
      <c r="F11" s="90"/>
      <c r="G11" s="89" t="s">
        <v>210</v>
      </c>
    </row>
    <row r="12" spans="1:7" ht="15.75" customHeight="1" x14ac:dyDescent="0.25">
      <c r="A12" s="14" t="s">
        <v>186</v>
      </c>
      <c r="B12" s="140"/>
      <c r="C12" s="58">
        <v>0.95</v>
      </c>
      <c r="D12" s="59">
        <v>0.73</v>
      </c>
      <c r="E12" s="89"/>
      <c r="F12" s="90"/>
      <c r="G12" s="89"/>
    </row>
    <row r="13" spans="1:7" ht="15.75" customHeight="1" x14ac:dyDescent="0.3">
      <c r="A13" s="93" t="s">
        <v>191</v>
      </c>
      <c r="B13" s="139">
        <v>0.47799999999999998</v>
      </c>
      <c r="C13" s="58">
        <v>0.95</v>
      </c>
      <c r="D13" s="59">
        <v>2</v>
      </c>
      <c r="E13" s="89" t="s">
        <v>242</v>
      </c>
      <c r="F13" s="90" t="s">
        <v>277</v>
      </c>
      <c r="G13" s="89"/>
    </row>
    <row r="14" spans="1:7" ht="15.75" customHeight="1" x14ac:dyDescent="0.3">
      <c r="A14" s="92" t="s">
        <v>57</v>
      </c>
      <c r="B14" s="139">
        <v>0.215</v>
      </c>
      <c r="C14" s="58">
        <v>0.95</v>
      </c>
      <c r="D14" s="59">
        <v>2.1800000000000002</v>
      </c>
      <c r="E14" s="89" t="s">
        <v>242</v>
      </c>
      <c r="F14" s="125" t="s">
        <v>263</v>
      </c>
      <c r="G14" s="89" t="s">
        <v>212</v>
      </c>
    </row>
    <row r="15" spans="1:7" ht="15.75" customHeight="1" x14ac:dyDescent="0.3">
      <c r="A15" s="92"/>
      <c r="B15" s="139">
        <v>0.08</v>
      </c>
      <c r="C15" s="58">
        <v>0.95</v>
      </c>
      <c r="D15" s="59">
        <v>2.1800000000000002</v>
      </c>
      <c r="E15" s="89" t="s">
        <v>242</v>
      </c>
      <c r="F15" s="125" t="s">
        <v>264</v>
      </c>
      <c r="G15" s="89"/>
    </row>
    <row r="16" spans="1:7" ht="15.75" customHeight="1" x14ac:dyDescent="0.25">
      <c r="A16" s="57" t="s">
        <v>47</v>
      </c>
      <c r="B16" s="140"/>
      <c r="C16" s="58">
        <v>0.95</v>
      </c>
      <c r="D16" s="59">
        <v>0.05</v>
      </c>
      <c r="E16" s="89"/>
      <c r="F16" s="90"/>
      <c r="G16" s="89"/>
    </row>
    <row r="17" spans="1:7" ht="16" customHeight="1" x14ac:dyDescent="0.25">
      <c r="A17" s="57" t="s">
        <v>172</v>
      </c>
      <c r="B17" s="140"/>
      <c r="C17" s="58">
        <v>0.95</v>
      </c>
      <c r="D17" s="127">
        <v>5</v>
      </c>
      <c r="E17" s="89"/>
      <c r="F17" s="90"/>
      <c r="G17" s="89"/>
    </row>
    <row r="18" spans="1:7" ht="15.75" customHeight="1" x14ac:dyDescent="0.25">
      <c r="A18" s="57" t="s">
        <v>199</v>
      </c>
      <c r="B18" s="140"/>
      <c r="C18" s="58">
        <v>0.95</v>
      </c>
      <c r="D18" s="127">
        <f>SUMPRODUCT(('IYCF cost'!$C$2:$E$6)*('IYCF packages'!$C$9:$E$13&lt;&gt;""))</f>
        <v>4.8250000000000002</v>
      </c>
      <c r="E18" s="89"/>
      <c r="F18" s="90"/>
      <c r="G18" s="89" t="s">
        <v>210</v>
      </c>
    </row>
    <row r="19" spans="1:7" ht="15.75" customHeight="1" x14ac:dyDescent="0.25">
      <c r="A19" s="57" t="s">
        <v>200</v>
      </c>
      <c r="B19" s="140"/>
      <c r="C19" s="58">
        <v>0.95</v>
      </c>
      <c r="D19" s="127">
        <f>SUMPRODUCT(('IYCF cost'!$C$2:$E$6)*('IYCF packages'!$C$16:$E$20&lt;&gt;""))</f>
        <v>0.25</v>
      </c>
      <c r="E19" s="89"/>
      <c r="F19" s="90"/>
      <c r="G19" s="89"/>
    </row>
    <row r="20" spans="1:7" ht="15.75" customHeight="1" x14ac:dyDescent="0.25">
      <c r="A20" s="57" t="s">
        <v>196</v>
      </c>
      <c r="B20" s="140"/>
      <c r="C20" s="58">
        <v>0.95</v>
      </c>
      <c r="D20" s="59">
        <v>8.84</v>
      </c>
      <c r="E20" s="89"/>
      <c r="F20" s="90"/>
      <c r="G20" s="89"/>
    </row>
    <row r="21" spans="1:7" ht="15.75" customHeight="1" x14ac:dyDescent="0.25">
      <c r="A21" s="57" t="s">
        <v>137</v>
      </c>
      <c r="B21" s="140"/>
      <c r="C21" s="58">
        <v>0.95</v>
      </c>
      <c r="D21" s="59">
        <v>50</v>
      </c>
      <c r="E21" s="90"/>
      <c r="F21" s="90"/>
      <c r="G21" s="89"/>
    </row>
    <row r="22" spans="1:7" ht="15.75" customHeight="1" x14ac:dyDescent="0.25">
      <c r="A22" s="57" t="s">
        <v>34</v>
      </c>
      <c r="B22" s="140"/>
      <c r="C22" s="58">
        <v>0.95</v>
      </c>
      <c r="D22" s="59">
        <v>2.61</v>
      </c>
      <c r="E22" s="90"/>
      <c r="F22" s="90"/>
      <c r="G22" s="89"/>
    </row>
    <row r="23" spans="1:7" ht="15.75" customHeight="1" x14ac:dyDescent="0.25">
      <c r="A23" s="57" t="s">
        <v>88</v>
      </c>
      <c r="B23" s="140"/>
      <c r="C23" s="58">
        <v>0.95</v>
      </c>
      <c r="D23" s="59">
        <v>1</v>
      </c>
      <c r="E23" s="90"/>
      <c r="F23" s="90"/>
      <c r="G23" s="89" t="s">
        <v>210</v>
      </c>
    </row>
    <row r="24" spans="1:7" ht="15.75" customHeight="1" x14ac:dyDescent="0.25">
      <c r="A24" s="57" t="s">
        <v>87</v>
      </c>
      <c r="B24" s="140"/>
      <c r="C24" s="58">
        <v>0.95</v>
      </c>
      <c r="D24" s="59">
        <v>1</v>
      </c>
      <c r="E24" s="90"/>
      <c r="F24" s="90"/>
      <c r="G24" s="89" t="s">
        <v>210</v>
      </c>
    </row>
    <row r="25" spans="1:7" ht="15.75" customHeight="1" x14ac:dyDescent="0.25">
      <c r="A25" s="57" t="s">
        <v>138</v>
      </c>
      <c r="B25" s="140"/>
      <c r="C25" s="58">
        <v>0.95</v>
      </c>
      <c r="D25" s="59">
        <v>1</v>
      </c>
      <c r="E25" s="90"/>
      <c r="F25" s="90"/>
      <c r="G25" s="89" t="s">
        <v>210</v>
      </c>
    </row>
    <row r="26" spans="1:7" ht="15.75" customHeight="1" x14ac:dyDescent="0.3">
      <c r="A26" s="92" t="s">
        <v>59</v>
      </c>
      <c r="B26" s="140"/>
      <c r="C26" s="58">
        <v>0.95</v>
      </c>
      <c r="D26" s="59">
        <v>3.54</v>
      </c>
      <c r="E26" s="89"/>
      <c r="F26" s="90" t="s">
        <v>278</v>
      </c>
      <c r="G26" s="89"/>
    </row>
    <row r="27" spans="1:7" ht="15.75" customHeight="1" x14ac:dyDescent="0.3">
      <c r="A27" s="92" t="s">
        <v>84</v>
      </c>
      <c r="B27" s="139">
        <v>0.14400000000000002</v>
      </c>
      <c r="C27" s="58">
        <v>0.95</v>
      </c>
      <c r="D27" s="59">
        <v>1</v>
      </c>
      <c r="E27" s="89" t="s">
        <v>242</v>
      </c>
      <c r="F27" s="90" t="s">
        <v>265</v>
      </c>
      <c r="G27" s="89"/>
    </row>
    <row r="28" spans="1:7" ht="15.75" customHeight="1" x14ac:dyDescent="0.25">
      <c r="A28" s="57" t="s">
        <v>58</v>
      </c>
      <c r="B28" s="140"/>
      <c r="C28" s="58">
        <v>0.95</v>
      </c>
      <c r="D28" s="59">
        <v>40.25</v>
      </c>
      <c r="E28" s="89"/>
      <c r="F28" s="90"/>
      <c r="G28" s="89"/>
    </row>
    <row r="29" spans="1:7" ht="15.75" customHeight="1" x14ac:dyDescent="0.25">
      <c r="A29" s="57" t="s">
        <v>67</v>
      </c>
      <c r="B29" s="140"/>
      <c r="C29" s="58">
        <v>0.95</v>
      </c>
      <c r="D29" s="128">
        <f>162*AVERAGE('Incidence of conditions'!B4:F4) + 0*AVERAGE('Incidence of conditions'!B3:F3)*IF(ISBLANK(manage_mam), 0, 1)</f>
        <v>8.9172841679999983</v>
      </c>
      <c r="E29" s="89"/>
      <c r="F29" s="90"/>
      <c r="G29" s="89"/>
    </row>
    <row r="30" spans="1:7" ht="15.75" customHeight="1" x14ac:dyDescent="0.3">
      <c r="A30" s="92" t="s">
        <v>28</v>
      </c>
      <c r="B30" s="139">
        <v>0.63300000000000001</v>
      </c>
      <c r="C30" s="58">
        <v>0.95</v>
      </c>
      <c r="D30" s="59">
        <v>0.55000000000000004</v>
      </c>
      <c r="E30" s="89" t="s">
        <v>242</v>
      </c>
      <c r="F30" s="125" t="s">
        <v>266</v>
      </c>
      <c r="G30" s="89"/>
    </row>
    <row r="31" spans="1:7" ht="15.75" customHeight="1" x14ac:dyDescent="0.3">
      <c r="A31" s="92"/>
      <c r="B31" s="139">
        <v>0.12300000000000001</v>
      </c>
      <c r="C31" s="58">
        <v>0.95</v>
      </c>
      <c r="D31" s="59">
        <v>0.55000000000000004</v>
      </c>
      <c r="E31" s="89" t="s">
        <v>242</v>
      </c>
      <c r="F31" s="125" t="s">
        <v>267</v>
      </c>
      <c r="G31" s="89"/>
    </row>
    <row r="32" spans="1:7" ht="15.75" customHeight="1" x14ac:dyDescent="0.25">
      <c r="A32" s="57" t="s">
        <v>83</v>
      </c>
      <c r="B32" s="140"/>
      <c r="C32" s="58">
        <v>0.95</v>
      </c>
      <c r="D32" s="59">
        <v>1</v>
      </c>
      <c r="E32" s="89"/>
      <c r="F32" s="90"/>
      <c r="G32" s="89" t="s">
        <v>210</v>
      </c>
    </row>
    <row r="33" spans="1:7" ht="15.75" customHeight="1" x14ac:dyDescent="0.25">
      <c r="A33" s="57" t="s">
        <v>82</v>
      </c>
      <c r="B33" s="140"/>
      <c r="C33" s="58">
        <v>0.95</v>
      </c>
      <c r="D33" s="59">
        <v>2.8</v>
      </c>
      <c r="E33" s="89"/>
      <c r="F33" s="90"/>
      <c r="G33" s="89"/>
    </row>
    <row r="34" spans="1:7" ht="15.75" customHeight="1" x14ac:dyDescent="0.25">
      <c r="A34" s="57" t="s">
        <v>81</v>
      </c>
      <c r="B34" s="140"/>
      <c r="C34" s="58">
        <v>0.95</v>
      </c>
      <c r="D34" s="59">
        <v>50.26</v>
      </c>
      <c r="E34" s="89"/>
      <c r="F34" s="90"/>
      <c r="G34" s="89"/>
    </row>
    <row r="35" spans="1:7" ht="15.75" customHeight="1" x14ac:dyDescent="0.25">
      <c r="A35" s="57" t="s">
        <v>79</v>
      </c>
      <c r="B35" s="140"/>
      <c r="C35" s="58">
        <v>0.95</v>
      </c>
      <c r="D35" s="59">
        <v>36.1</v>
      </c>
      <c r="E35" s="89"/>
      <c r="F35" s="90"/>
      <c r="G35" s="89"/>
    </row>
    <row r="36" spans="1:7" s="43" customFormat="1" ht="15.75" customHeight="1" x14ac:dyDescent="0.25">
      <c r="A36" s="57" t="s">
        <v>80</v>
      </c>
      <c r="B36" s="140"/>
      <c r="C36" s="58">
        <v>0.95</v>
      </c>
      <c r="D36" s="59">
        <v>231.85</v>
      </c>
      <c r="E36" s="89"/>
      <c r="F36" s="90"/>
      <c r="G36" s="89"/>
    </row>
    <row r="37" spans="1:7" ht="15.75" customHeight="1" x14ac:dyDescent="0.3">
      <c r="A37" s="92" t="s">
        <v>85</v>
      </c>
      <c r="B37" s="140">
        <v>0</v>
      </c>
      <c r="C37" s="58">
        <v>0.95</v>
      </c>
      <c r="D37" s="59">
        <v>0.92</v>
      </c>
      <c r="E37" s="89" t="s">
        <v>242</v>
      </c>
      <c r="F37" s="90"/>
      <c r="G37" s="89"/>
    </row>
    <row r="38" spans="1:7" ht="15.75" customHeight="1" x14ac:dyDescent="0.25">
      <c r="A38" s="57" t="s">
        <v>60</v>
      </c>
      <c r="B38" s="150"/>
      <c r="C38" s="58">
        <v>0.95</v>
      </c>
      <c r="D38" s="59">
        <v>4.6100000000000003</v>
      </c>
      <c r="E38" s="89"/>
      <c r="F38" s="90"/>
      <c r="G38" s="89" t="s">
        <v>212</v>
      </c>
    </row>
    <row r="39" spans="1:7" ht="15.75" customHeight="1" x14ac:dyDescent="0.25">
      <c r="G39" s="43"/>
    </row>
  </sheetData>
  <sortState ref="A2:D38">
    <sortCondition ref="A2:A38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45</vt:i4>
      </vt:variant>
    </vt:vector>
  </HeadingPairs>
  <TitlesOfParts>
    <vt:vector size="60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Avril Dawn Kaplan</cp:lastModifiedBy>
  <dcterms:created xsi:type="dcterms:W3CDTF">2017-08-01T10:42:13Z</dcterms:created>
  <dcterms:modified xsi:type="dcterms:W3CDTF">2018-11-06T16:45:29Z</dcterms:modified>
</cp:coreProperties>
</file>