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50A48E2E-96A0-C347-8378-5EDD1535F14F}" xr6:coauthVersionLast="31" xr6:coauthVersionMax="31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ncidence of conditions" sheetId="7" r:id="rId8"/>
    <sheet name="Programs target population" sheetId="21" r:id="rId9"/>
    <sheet name="Programs family planning" sheetId="54" r:id="rId10"/>
  </sheets>
  <definedNames>
    <definedName name="abortion">'Baseline year population inputs'!$C$29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8" i="5"/>
  <c r="F8" i="5"/>
  <c r="E8" i="5"/>
  <c r="D8" i="5"/>
  <c r="C8" i="5"/>
  <c r="G2" i="5"/>
  <c r="F2" i="5"/>
  <c r="E2" i="5"/>
  <c r="D2" i="5"/>
  <c r="C2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B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6D533BF5-12E4-3646-87A2-3E3EBC745FE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1AFE157B-E3FD-BD45-977A-B0B043576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14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<sst xmlns="http://schemas.openxmlformats.org/spreadsheetml/2006/main" count="261" uniqueCount="215">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</sst>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7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7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43" fontId="3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horizontal="right"/>
    </xf>
    <xf numFmtId="9" fontId="3" fillId="2" borderId="1" xfId="10" applyFont="1" applyFill="1" applyBorder="1" applyAlignment="1"/>
    <xf numFmtId="9" fontId="3" fillId="2" borderId="1" xfId="10" applyFont="1" applyFill="1" applyBorder="1" applyAlignment="1">
      <alignment horizontal="right"/>
    </xf>
    <xf numFmtId="0" fontId="3" fillId="2" borderId="1" xfId="0" applyFont="1" applyFill="1" applyBorder="1" applyAlignment="1"/>
    <xf numFmtId="9" fontId="8" fillId="4" borderId="1" xfId="10" applyFont="1" applyFill="1" applyBorder="1" applyAlignment="1"/>
    <xf numFmtId="0" fontId="10" fillId="0" borderId="0" xfId="0" applyFont="1" applyAlignment="1">
      <alignment horizontal="right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/>
    <xf numFmtId="164" fontId="8" fillId="4" borderId="1" xfId="9" applyNumberFormat="1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" fontId="8" fillId="4" borderId="1" xfId="9" applyNumberFormat="1" applyFont="1" applyFill="1" applyBorder="1" applyAlignment="1">
      <alignment horizontal="right"/>
    </xf>
    <xf numFmtId="10" fontId="3" fillId="2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165" fontId="8" fillId="4" borderId="1" xfId="9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horizontal="right"/>
    </xf>
    <xf numFmtId="166" fontId="3" fillId="0" borderId="0" xfId="0" applyNumberFormat="1" applyFont="1" applyAlignment="1"/>
    <xf numFmtId="0" fontId="2" fillId="0" borderId="0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wrapText="1"/>
    </xf>
    <xf numFmtId="9" fontId="8" fillId="4" borderId="1" xfId="10" applyFont="1" applyFill="1" applyBorder="1" applyAlignment="1">
      <alignment horizontal="right"/>
    </xf>
    <xf numFmtId="0" fontId="11" fillId="0" borderId="0" xfId="0" applyFont="1" applyAlignment="1">
      <alignment horizontal="right" vertical="center"/>
    </xf>
    <xf numFmtId="166" fontId="8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3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Alignment="1">
      <alignment horizontal="right" wrapText="1"/>
    </xf>
    <xf numFmtId="10" fontId="8" fillId="3" borderId="1" xfId="10" applyNumberFormat="1" applyFont="1" applyFill="1" applyBorder="1" applyAlignment="1"/>
    <xf numFmtId="2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725" applyFont="1" applyAlignment="1"/>
    <xf numFmtId="0" fontId="3" fillId="0" borderId="0" xfId="725" applyFont="1" applyFill="1" applyAlignment="1"/>
    <xf numFmtId="0" fontId="3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7" fillId="0" borderId="0" xfId="725" applyFont="1" applyAlignment="1"/>
    <xf numFmtId="0" fontId="19" fillId="0" borderId="0" xfId="0" applyFont="1" applyFill="1" applyAlignment="1">
      <alignment horizontal="right"/>
    </xf>
    <xf numFmtId="0" fontId="19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2" fillId="0" borderId="0" xfId="725" applyFont="1" applyAlignment="1"/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C4319F0F-8966-3441-8D44-6E4833EF1C8F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tabSelected="1" topLeftCell="A8" zoomScaleNormal="100" workbookViewId="0">
      <selection activeCell="D30" sqref="D30"/>
    </sheetView>
  </sheetViews>
  <sheetFormatPr baseColWidth="10" defaultColWidth="14.5" defaultRowHeight="15.75" customHeight="1" x14ac:dyDescent="0.15"/>
  <cols>
    <col min="1" max="1" width="27.6640625" style="18" customWidth="1"/>
    <col min="2" max="2" width="38.6640625" style="22" customWidth="1"/>
    <col min="3" max="16384" width="14.5" style="18"/>
  </cols>
  <sheetData>
    <row r="1" spans="1:3" ht="16" customHeight="1" x14ac:dyDescent="0.15">
      <c r="A1" s="1" t="s">
        <v>130</v>
      </c>
      <c r="B1" s="69" t="s">
        <v>207</v>
      </c>
      <c r="C1" s="69" t="s">
        <v>208</v>
      </c>
    </row>
    <row r="2" spans="1:3" ht="15" customHeight="1" x14ac:dyDescent="0.15">
      <c r="A2" s="18" t="s">
        <v>49</v>
      </c>
    </row>
    <row r="3" spans="1:3" ht="15" customHeight="1" x14ac:dyDescent="0.15">
      <c r="B3" s="9" t="s">
        <v>136</v>
      </c>
      <c r="C3" s="27">
        <v>0.36</v>
      </c>
    </row>
    <row r="4" spans="1:3" ht="15" customHeight="1" x14ac:dyDescent="0.15">
      <c r="B4" s="14" t="s">
        <v>137</v>
      </c>
      <c r="C4" s="26">
        <v>0.1</v>
      </c>
    </row>
    <row r="5" spans="1:3" ht="15" customHeight="1" x14ac:dyDescent="0.15">
      <c r="B5" s="14" t="s">
        <v>135</v>
      </c>
      <c r="C5" s="26">
        <v>0.35199999999999998</v>
      </c>
    </row>
    <row r="6" spans="1:3" ht="15" customHeight="1" x14ac:dyDescent="0.15">
      <c r="B6" s="9" t="s">
        <v>138</v>
      </c>
      <c r="C6" s="27">
        <v>0.5</v>
      </c>
    </row>
    <row r="7" spans="1:3" ht="15" customHeight="1" x14ac:dyDescent="0.15">
      <c r="B7" s="9" t="s">
        <v>139</v>
      </c>
      <c r="C7" s="27">
        <v>0.3</v>
      </c>
    </row>
    <row r="8" spans="1:3" ht="15" customHeight="1" x14ac:dyDescent="0.15">
      <c r="B8" s="9" t="s">
        <v>140</v>
      </c>
      <c r="C8" s="27">
        <v>0.1</v>
      </c>
    </row>
    <row r="9" spans="1:3" ht="15" customHeight="1" x14ac:dyDescent="0.15">
      <c r="B9" s="18"/>
    </row>
    <row r="10" spans="1:3" ht="15" customHeight="1" x14ac:dyDescent="0.15">
      <c r="A10" s="18" t="s">
        <v>30</v>
      </c>
      <c r="B10" s="25"/>
      <c r="C10" s="3"/>
    </row>
    <row r="11" spans="1:3" ht="15" customHeight="1" x14ac:dyDescent="0.15">
      <c r="B11" s="14" t="s">
        <v>124</v>
      </c>
      <c r="C11" s="26">
        <v>0.3</v>
      </c>
    </row>
    <row r="12" spans="1:3" ht="15" customHeight="1" x14ac:dyDescent="0.15">
      <c r="B12" s="14" t="s">
        <v>125</v>
      </c>
      <c r="C12" s="26">
        <v>0.8</v>
      </c>
    </row>
    <row r="13" spans="1:3" ht="15" customHeight="1" x14ac:dyDescent="0.15">
      <c r="B13" s="14" t="s">
        <v>126</v>
      </c>
      <c r="C13" s="26">
        <v>0.12</v>
      </c>
    </row>
    <row r="14" spans="1:3" ht="15" customHeight="1" x14ac:dyDescent="0.15">
      <c r="B14" s="14" t="s">
        <v>127</v>
      </c>
      <c r="C14" s="26">
        <v>0.05</v>
      </c>
    </row>
    <row r="15" spans="1:3" ht="15" customHeight="1" x14ac:dyDescent="0.15">
      <c r="B15" s="14" t="s">
        <v>128</v>
      </c>
      <c r="C15" s="29">
        <f>1-frac_rice-frac_wheat-frac_maize</f>
        <v>2.9999999999999957E-2</v>
      </c>
    </row>
    <row r="16" spans="1:3" ht="15" customHeight="1" x14ac:dyDescent="0.15">
      <c r="B16" s="18"/>
    </row>
    <row r="17" spans="1:5" ht="15" customHeight="1" x14ac:dyDescent="0.15">
      <c r="A17" s="18" t="s">
        <v>129</v>
      </c>
    </row>
    <row r="18" spans="1:5" ht="15" customHeight="1" x14ac:dyDescent="0.15">
      <c r="B18" s="30" t="s">
        <v>131</v>
      </c>
      <c r="C18" s="26">
        <v>0.29978973218277538</v>
      </c>
    </row>
    <row r="19" spans="1:5" ht="15" customHeight="1" x14ac:dyDescent="0.15">
      <c r="B19" s="30" t="s">
        <v>132</v>
      </c>
      <c r="C19" s="26">
        <v>0.52556568434139284</v>
      </c>
    </row>
    <row r="20" spans="1:5" ht="15" customHeight="1" x14ac:dyDescent="0.15">
      <c r="B20" s="30" t="s">
        <v>133</v>
      </c>
      <c r="C20" s="26">
        <v>0.16210210664201097</v>
      </c>
    </row>
    <row r="21" spans="1:5" ht="15" customHeight="1" x14ac:dyDescent="0.15">
      <c r="B21" s="30" t="s">
        <v>134</v>
      </c>
      <c r="C21" s="26">
        <v>1.2542476833820825E-2</v>
      </c>
    </row>
    <row r="22" spans="1:5" ht="15" customHeight="1" x14ac:dyDescent="0.15"/>
    <row r="23" spans="1:5" ht="15" customHeight="1" x14ac:dyDescent="0.15">
      <c r="A23" s="4" t="s">
        <v>176</v>
      </c>
    </row>
    <row r="24" spans="1:5" ht="15" customHeight="1" x14ac:dyDescent="0.15">
      <c r="A24" s="18" t="s">
        <v>93</v>
      </c>
      <c r="B24" s="9"/>
      <c r="C24" s="19"/>
    </row>
    <row r="25" spans="1:5" ht="15" customHeight="1" x14ac:dyDescent="0.15">
      <c r="B25" s="71" t="s">
        <v>122</v>
      </c>
      <c r="C25" s="28">
        <v>25.4</v>
      </c>
    </row>
    <row r="26" spans="1:5" ht="15" customHeight="1" x14ac:dyDescent="0.15">
      <c r="B26" s="22" t="s">
        <v>121</v>
      </c>
      <c r="C26" s="28">
        <v>34.68</v>
      </c>
      <c r="D26" s="23"/>
      <c r="E26" s="24"/>
    </row>
    <row r="27" spans="1:5" ht="15" customHeight="1" x14ac:dyDescent="0.15">
      <c r="B27" s="22" t="s">
        <v>120</v>
      </c>
      <c r="C27" s="28">
        <v>39.32</v>
      </c>
      <c r="D27" s="23"/>
      <c r="E27" s="23"/>
    </row>
    <row r="28" spans="1:5" ht="15" customHeight="1" x14ac:dyDescent="0.15">
      <c r="B28" s="22" t="s">
        <v>214</v>
      </c>
      <c r="C28" s="28">
        <v>1.76</v>
      </c>
    </row>
    <row r="29" spans="1:5" ht="15" customHeight="1" x14ac:dyDescent="0.15">
      <c r="B29" s="22" t="s">
        <v>119</v>
      </c>
      <c r="C29" s="26">
        <v>0.13</v>
      </c>
    </row>
    <row r="30" spans="1:5" ht="15" customHeight="1" x14ac:dyDescent="0.15">
      <c r="B30" s="71" t="s">
        <v>123</v>
      </c>
      <c r="C30" s="28">
        <v>25.36</v>
      </c>
    </row>
    <row r="31" spans="1:5" ht="15.75" customHeight="1" x14ac:dyDescent="0.15">
      <c r="D31" s="23"/>
    </row>
    <row r="32" spans="1:5" ht="15.75" customHeight="1" x14ac:dyDescent="0.15">
      <c r="A32" s="18" t="s">
        <v>172</v>
      </c>
      <c r="D32" s="23"/>
    </row>
    <row r="33" spans="1:5" ht="15.75" customHeight="1" x14ac:dyDescent="0.15">
      <c r="B33" s="22" t="s">
        <v>9</v>
      </c>
      <c r="C33" s="26">
        <v>3.1E-2</v>
      </c>
      <c r="D33" s="23"/>
    </row>
    <row r="34" spans="1:5" ht="15.75" customHeight="1" x14ac:dyDescent="0.15">
      <c r="B34" s="22" t="s">
        <v>11</v>
      </c>
      <c r="C34" s="26">
        <v>0.109</v>
      </c>
      <c r="D34" s="23"/>
    </row>
    <row r="35" spans="1:5" ht="15.75" customHeight="1" x14ac:dyDescent="0.15">
      <c r="B35" s="22" t="s">
        <v>12</v>
      </c>
      <c r="C35" s="26">
        <v>0.36499999999999999</v>
      </c>
      <c r="D35" s="23"/>
      <c r="E35" s="24"/>
    </row>
    <row r="36" spans="1:5" ht="15" customHeight="1" x14ac:dyDescent="0.15">
      <c r="B36" s="22" t="s">
        <v>26</v>
      </c>
      <c r="C36" s="29">
        <f>1-term_SGA-preterm_AGA-preterm_SGA</f>
        <v>0.495</v>
      </c>
      <c r="D36" s="23"/>
      <c r="E36" s="23"/>
    </row>
    <row r="37" spans="1:5" ht="15.75" customHeight="1" x14ac:dyDescent="0.15">
      <c r="D37" s="23"/>
    </row>
    <row r="38" spans="1:5" ht="15.75" customHeight="1" x14ac:dyDescent="0.15">
      <c r="A38" s="18" t="s">
        <v>91</v>
      </c>
      <c r="D38" s="23"/>
    </row>
    <row r="39" spans="1:5" ht="15.75" customHeight="1" x14ac:dyDescent="0.15">
      <c r="B39" s="22" t="s">
        <v>161</v>
      </c>
      <c r="C39" s="7">
        <v>2.4300000000000002</v>
      </c>
      <c r="D39" s="23"/>
    </row>
    <row r="40" spans="1:5" ht="15" customHeight="1" x14ac:dyDescent="0.15">
      <c r="B40" s="22" t="s">
        <v>162</v>
      </c>
      <c r="C40" s="7">
        <v>2.4300000000000002</v>
      </c>
    </row>
    <row r="41" spans="1:5" ht="15.75" customHeight="1" x14ac:dyDescent="0.15">
      <c r="B41" s="22" t="s">
        <v>163</v>
      </c>
      <c r="C41" s="7">
        <v>3.71</v>
      </c>
    </row>
    <row r="42" spans="1:5" ht="15.75" customHeight="1" x14ac:dyDescent="0.15">
      <c r="B42" s="22" t="s">
        <v>164</v>
      </c>
      <c r="C42" s="7">
        <v>3</v>
      </c>
    </row>
    <row r="43" spans="1:5" ht="15.75" customHeight="1" x14ac:dyDescent="0.15">
      <c r="B43" s="22" t="s">
        <v>165</v>
      </c>
      <c r="C43" s="7">
        <v>1.92</v>
      </c>
    </row>
    <row r="45" spans="1:5" ht="15.75" customHeight="1" x14ac:dyDescent="0.15">
      <c r="A45" s="18" t="s">
        <v>173</v>
      </c>
    </row>
    <row r="46" spans="1:5" ht="15.75" customHeight="1" x14ac:dyDescent="0.15">
      <c r="B46" s="9" t="s">
        <v>141</v>
      </c>
      <c r="C46" s="27">
        <v>0.2</v>
      </c>
    </row>
    <row r="47" spans="1:5" ht="15.75" customHeight="1" x14ac:dyDescent="0.15">
      <c r="B47" s="22" t="s">
        <v>170</v>
      </c>
      <c r="C47" s="27">
        <v>0.42</v>
      </c>
    </row>
    <row r="48" spans="1:5" ht="15.75" customHeight="1" x14ac:dyDescent="0.15">
      <c r="B48" s="22" t="s">
        <v>174</v>
      </c>
      <c r="C48" s="27">
        <v>0.9</v>
      </c>
    </row>
    <row r="49" spans="1:3" ht="15.75" customHeight="1" x14ac:dyDescent="0.15">
      <c r="B49" s="22" t="s">
        <v>175</v>
      </c>
      <c r="C49" s="27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AF1-AC9D-D445-9C09-730772E263E4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63" customWidth="1"/>
    <col min="2" max="2" width="12.5" style="63" customWidth="1"/>
    <col min="3" max="4" width="11.5" style="63"/>
    <col min="5" max="5" width="17.5" style="63" customWidth="1"/>
    <col min="6" max="16384" width="11.5" style="63"/>
  </cols>
  <sheetData>
    <row r="1" spans="1:5" x14ac:dyDescent="0.15">
      <c r="A1" s="68" t="s">
        <v>206</v>
      </c>
      <c r="B1" s="68" t="s">
        <v>205</v>
      </c>
      <c r="C1" s="68" t="s">
        <v>204</v>
      </c>
      <c r="D1" s="68" t="s">
        <v>203</v>
      </c>
      <c r="E1" s="68" t="s">
        <v>202</v>
      </c>
    </row>
    <row r="2" spans="1:5" ht="14" x14ac:dyDescent="0.15">
      <c r="A2" s="67" t="s">
        <v>201</v>
      </c>
      <c r="B2" s="66">
        <v>0.9</v>
      </c>
      <c r="C2" s="65">
        <v>0.09</v>
      </c>
      <c r="D2" s="63">
        <v>0.8</v>
      </c>
      <c r="E2" s="63">
        <f t="shared" ref="E2:E10" si="0">C2*D2</f>
        <v>7.1999999999999995E-2</v>
      </c>
    </row>
    <row r="3" spans="1:5" ht="14" x14ac:dyDescent="0.15">
      <c r="A3" s="67" t="s">
        <v>200</v>
      </c>
      <c r="B3" s="66">
        <v>1</v>
      </c>
      <c r="C3" s="65">
        <v>0.02</v>
      </c>
      <c r="D3" s="63">
        <v>1.9</v>
      </c>
      <c r="E3" s="63">
        <f t="shared" si="0"/>
        <v>3.7999999999999999E-2</v>
      </c>
    </row>
    <row r="4" spans="1:5" ht="14" x14ac:dyDescent="0.15">
      <c r="A4" s="67" t="s">
        <v>199</v>
      </c>
      <c r="B4" s="66">
        <v>1</v>
      </c>
      <c r="C4" s="65">
        <v>0.08</v>
      </c>
      <c r="D4" s="63">
        <v>2</v>
      </c>
      <c r="E4" s="63">
        <f t="shared" si="0"/>
        <v>0.16</v>
      </c>
    </row>
    <row r="5" spans="1:5" ht="14" x14ac:dyDescent="0.15">
      <c r="A5" s="67" t="s">
        <v>198</v>
      </c>
      <c r="B5" s="66">
        <v>1</v>
      </c>
      <c r="C5" s="65">
        <v>0.18</v>
      </c>
      <c r="D5" s="63">
        <v>0.7</v>
      </c>
      <c r="E5" s="63">
        <f t="shared" si="0"/>
        <v>0.126</v>
      </c>
    </row>
    <row r="6" spans="1:5" ht="14" x14ac:dyDescent="0.15">
      <c r="A6" s="67" t="s">
        <v>197</v>
      </c>
      <c r="B6" s="66">
        <v>1</v>
      </c>
      <c r="C6" s="65">
        <v>0.02</v>
      </c>
      <c r="D6" s="63">
        <v>0.7</v>
      </c>
      <c r="E6" s="63">
        <f t="shared" si="0"/>
        <v>1.3999999999999999E-2</v>
      </c>
    </row>
    <row r="7" spans="1:5" ht="14" x14ac:dyDescent="0.15">
      <c r="A7" s="67" t="s">
        <v>196</v>
      </c>
      <c r="B7" s="66">
        <v>0.93</v>
      </c>
      <c r="C7" s="65">
        <v>0.45</v>
      </c>
      <c r="D7" s="63">
        <v>0.9</v>
      </c>
      <c r="E7" s="63">
        <f t="shared" si="0"/>
        <v>0.40500000000000003</v>
      </c>
    </row>
    <row r="8" spans="1:5" ht="14" x14ac:dyDescent="0.15">
      <c r="A8" s="67" t="s">
        <v>195</v>
      </c>
      <c r="B8" s="66">
        <v>0.5</v>
      </c>
      <c r="C8" s="65">
        <v>0.03</v>
      </c>
      <c r="D8" s="63">
        <v>0</v>
      </c>
      <c r="E8" s="63">
        <f t="shared" si="0"/>
        <v>0</v>
      </c>
    </row>
    <row r="9" spans="1:5" ht="14" x14ac:dyDescent="0.15">
      <c r="A9" s="67" t="s">
        <v>194</v>
      </c>
      <c r="B9" s="66">
        <v>0.5</v>
      </c>
      <c r="C9" s="65">
        <v>0.11</v>
      </c>
      <c r="D9" s="63">
        <v>0</v>
      </c>
      <c r="E9" s="63">
        <f t="shared" si="0"/>
        <v>0</v>
      </c>
    </row>
    <row r="10" spans="1:5" ht="14" x14ac:dyDescent="0.15">
      <c r="A10" s="67" t="s">
        <v>193</v>
      </c>
      <c r="B10" s="66">
        <v>0.98</v>
      </c>
      <c r="C10" s="65">
        <v>0.01</v>
      </c>
      <c r="D10" s="63">
        <v>0.6</v>
      </c>
      <c r="E10" s="63">
        <f t="shared" si="0"/>
        <v>6.0000000000000001E-3</v>
      </c>
    </row>
    <row r="11" spans="1:5" x14ac:dyDescent="0.15">
      <c r="C11" s="6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12" sqref="A1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3" t="s">
        <v>146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32</v>
      </c>
    </row>
    <row r="2" spans="1:7" ht="15.75" customHeight="1" x14ac:dyDescent="0.15">
      <c r="A2" s="35" t="s">
        <v>92</v>
      </c>
      <c r="B2" s="36">
        <v>7.0000000000000001E-3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</row>
    <row r="3" spans="1:7" ht="15.75" customHeight="1" x14ac:dyDescent="0.15">
      <c r="A3" s="35" t="s">
        <v>7</v>
      </c>
      <c r="B3" s="36">
        <v>0.19900000000000001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ht="15.75" customHeight="1" x14ac:dyDescent="0.15">
      <c r="A4" s="35" t="s">
        <v>8</v>
      </c>
      <c r="B4" s="36">
        <v>5.8999999999999997E-2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</row>
    <row r="5" spans="1:7" ht="15.75" customHeight="1" x14ac:dyDescent="0.15">
      <c r="A5" s="35" t="s">
        <v>10</v>
      </c>
      <c r="B5" s="36">
        <v>0.22900000000000001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</row>
    <row r="6" spans="1:7" ht="15.75" customHeight="1" x14ac:dyDescent="0.15">
      <c r="A6" s="35" t="s">
        <v>13</v>
      </c>
      <c r="B6" s="36">
        <v>0.29699999999999999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</row>
    <row r="7" spans="1:7" ht="15.75" customHeight="1" x14ac:dyDescent="0.15">
      <c r="A7" s="35" t="s">
        <v>14</v>
      </c>
      <c r="B7" s="36">
        <v>6.0000000000000001E-3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</row>
    <row r="8" spans="1:7" ht="15.75" customHeight="1" x14ac:dyDescent="0.15">
      <c r="A8" s="35" t="s">
        <v>27</v>
      </c>
      <c r="B8" s="36">
        <v>0.127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</row>
    <row r="9" spans="1:7" ht="15.75" customHeight="1" x14ac:dyDescent="0.15">
      <c r="A9" s="35" t="s">
        <v>15</v>
      </c>
      <c r="B9" s="36">
        <v>7.5999999999999998E-2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</row>
    <row r="10" spans="1:7" ht="15.75" customHeight="1" x14ac:dyDescent="0.15">
      <c r="A10" s="35" t="s">
        <v>90</v>
      </c>
      <c r="B10" s="37">
        <v>0</v>
      </c>
      <c r="C10" s="36">
        <f>14.81% * 0.2</f>
        <v>2.9620000000000004E-2</v>
      </c>
      <c r="D10" s="36">
        <v>0.14810000000000001</v>
      </c>
      <c r="E10" s="36">
        <v>0.14810000000000001</v>
      </c>
      <c r="F10" s="36">
        <v>0.14810000000000001</v>
      </c>
      <c r="G10" s="37">
        <v>0</v>
      </c>
    </row>
    <row r="11" spans="1:7" ht="15.75" customHeight="1" x14ac:dyDescent="0.15">
      <c r="A11" s="35" t="s">
        <v>16</v>
      </c>
      <c r="B11" s="37">
        <v>0</v>
      </c>
      <c r="C11" s="36">
        <v>0.2883</v>
      </c>
      <c r="D11" s="36">
        <v>0.2883</v>
      </c>
      <c r="E11" s="36">
        <v>0.2883</v>
      </c>
      <c r="F11" s="36">
        <v>0.2883</v>
      </c>
      <c r="G11" s="37">
        <v>0</v>
      </c>
    </row>
    <row r="12" spans="1:7" ht="15.75" customHeight="1" x14ac:dyDescent="0.15">
      <c r="A12" s="35" t="s">
        <v>17</v>
      </c>
      <c r="B12" s="37">
        <v>0</v>
      </c>
      <c r="C12" s="36">
        <v>4.1000000000000002E-2</v>
      </c>
      <c r="D12" s="36">
        <v>4.1000000000000002E-2</v>
      </c>
      <c r="E12" s="36">
        <v>4.1000000000000002E-2</v>
      </c>
      <c r="F12" s="36">
        <v>4.1000000000000002E-2</v>
      </c>
      <c r="G12" s="37">
        <v>0</v>
      </c>
    </row>
    <row r="13" spans="1:7" ht="15.75" customHeight="1" x14ac:dyDescent="0.15">
      <c r="A13" s="35" t="s">
        <v>18</v>
      </c>
      <c r="B13" s="37">
        <v>0</v>
      </c>
      <c r="C13" s="36">
        <v>5.0099999999999999E-2</v>
      </c>
      <c r="D13" s="36">
        <v>5.0099999999999999E-2</v>
      </c>
      <c r="E13" s="36">
        <v>5.0099999999999999E-2</v>
      </c>
      <c r="F13" s="36">
        <v>5.0099999999999999E-2</v>
      </c>
      <c r="G13" s="37">
        <v>0</v>
      </c>
    </row>
    <row r="14" spans="1:7" ht="15.75" customHeight="1" x14ac:dyDescent="0.15">
      <c r="A14" s="35" t="s">
        <v>19</v>
      </c>
      <c r="B14" s="37">
        <v>0</v>
      </c>
      <c r="C14" s="36">
        <v>6.0000000000000001E-3</v>
      </c>
      <c r="D14" s="36">
        <v>6.0000000000000001E-3</v>
      </c>
      <c r="E14" s="36">
        <v>6.0000000000000001E-3</v>
      </c>
      <c r="F14" s="36">
        <v>6.0000000000000001E-3</v>
      </c>
      <c r="G14" s="37">
        <v>0</v>
      </c>
    </row>
    <row r="15" spans="1:7" ht="15.75" customHeight="1" x14ac:dyDescent="0.15">
      <c r="A15" s="35" t="s">
        <v>20</v>
      </c>
      <c r="B15" s="37">
        <v>0</v>
      </c>
      <c r="C15" s="36">
        <v>0.01</v>
      </c>
      <c r="D15" s="36">
        <v>0.01</v>
      </c>
      <c r="E15" s="36">
        <v>0.01</v>
      </c>
      <c r="F15" s="36">
        <v>0.01</v>
      </c>
      <c r="G15" s="37">
        <v>0</v>
      </c>
    </row>
    <row r="16" spans="1:7" ht="15.75" customHeight="1" x14ac:dyDescent="0.15">
      <c r="A16" s="35" t="s">
        <v>21</v>
      </c>
      <c r="B16" s="37">
        <v>0</v>
      </c>
      <c r="C16" s="36">
        <v>0</v>
      </c>
      <c r="D16" s="36">
        <v>0</v>
      </c>
      <c r="E16" s="36">
        <v>0</v>
      </c>
      <c r="F16" s="36">
        <v>0</v>
      </c>
      <c r="G16" s="37">
        <v>0</v>
      </c>
    </row>
    <row r="17" spans="1:7" ht="15.75" customHeight="1" x14ac:dyDescent="0.15">
      <c r="A17" s="35" t="s">
        <v>22</v>
      </c>
      <c r="B17" s="37">
        <v>0</v>
      </c>
      <c r="C17" s="36">
        <v>0.14510000000000001</v>
      </c>
      <c r="D17" s="36">
        <v>0.14510000000000001</v>
      </c>
      <c r="E17" s="36">
        <v>0.14510000000000001</v>
      </c>
      <c r="F17" s="36">
        <v>0.14510000000000001</v>
      </c>
      <c r="G17" s="37">
        <v>0</v>
      </c>
    </row>
    <row r="18" spans="1:7" ht="15.75" customHeight="1" x14ac:dyDescent="0.15">
      <c r="A18" s="35" t="s">
        <v>23</v>
      </c>
      <c r="B18" s="37">
        <v>0</v>
      </c>
      <c r="C18" s="36">
        <v>0.31130000000000002</v>
      </c>
      <c r="D18" s="36">
        <v>0.31130000000000002</v>
      </c>
      <c r="E18" s="36">
        <v>0.31130000000000002</v>
      </c>
      <c r="F18" s="36">
        <v>0.31130000000000002</v>
      </c>
      <c r="G18" s="37">
        <v>0</v>
      </c>
    </row>
    <row r="19" spans="1:7" ht="15.75" customHeight="1" x14ac:dyDescent="0.15">
      <c r="A19" s="35" t="s">
        <v>39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8">
        <v>2.5899999999999999E-2</v>
      </c>
    </row>
    <row r="20" spans="1:7" ht="15.75" customHeight="1" x14ac:dyDescent="0.15">
      <c r="A20" s="35" t="s">
        <v>40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8">
        <v>7.1000000000000004E-3</v>
      </c>
    </row>
    <row r="21" spans="1:7" ht="15.75" customHeight="1" x14ac:dyDescent="0.15">
      <c r="A21" s="35" t="s">
        <v>41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8">
        <v>0.25590000000000002</v>
      </c>
    </row>
    <row r="22" spans="1:7" ht="15.75" customHeight="1" x14ac:dyDescent="0.15">
      <c r="A22" s="35" t="s">
        <v>42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8">
        <v>0.1464</v>
      </c>
    </row>
    <row r="23" spans="1:7" ht="15.75" customHeight="1" x14ac:dyDescent="0.15">
      <c r="A23" s="35" t="s">
        <v>43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8">
        <v>1.7600000000000001E-2</v>
      </c>
    </row>
    <row r="24" spans="1:7" ht="15.75" customHeight="1" x14ac:dyDescent="0.15">
      <c r="A24" s="35" t="s">
        <v>44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8">
        <v>1.8100000000000002E-2</v>
      </c>
    </row>
    <row r="25" spans="1:7" ht="15.75" customHeight="1" x14ac:dyDescent="0.15">
      <c r="A25" s="35" t="s">
        <v>45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8">
        <v>1.14E-2</v>
      </c>
    </row>
    <row r="26" spans="1:7" ht="15.75" customHeight="1" x14ac:dyDescent="0.15">
      <c r="A26" s="35" t="s">
        <v>46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8">
        <v>0.15129999999999999</v>
      </c>
    </row>
    <row r="27" spans="1:7" ht="15.75" customHeight="1" x14ac:dyDescent="0.15">
      <c r="A27" s="35" t="s">
        <v>47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8">
        <v>0.36630000000000001</v>
      </c>
    </row>
  </sheetData>
  <phoneticPr fontId="6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15"/>
  <sheetViews>
    <sheetView zoomScale="85" zoomScaleNormal="85" workbookViewId="0">
      <selection activeCell="J15" sqref="J15"/>
    </sheetView>
  </sheetViews>
  <sheetFormatPr baseColWidth="10" defaultColWidth="14.5" defaultRowHeight="15.75" customHeight="1" x14ac:dyDescent="0.15"/>
  <cols>
    <col min="1" max="1" width="8.5" style="18" customWidth="1"/>
    <col min="2" max="10" width="16.83203125" style="18" customWidth="1"/>
    <col min="11" max="11" width="18.6640625" style="18" customWidth="1"/>
    <col min="12" max="12" width="16.83203125" style="18" customWidth="1"/>
    <col min="13" max="16384" width="14.5" style="18"/>
  </cols>
  <sheetData>
    <row r="1" spans="1:12" s="31" customFormat="1" ht="30" customHeight="1" x14ac:dyDescent="0.15">
      <c r="A1" s="49" t="s">
        <v>0</v>
      </c>
      <c r="B1" s="39" t="s">
        <v>143</v>
      </c>
      <c r="C1" s="34" t="s">
        <v>144</v>
      </c>
      <c r="D1" s="34" t="s">
        <v>50</v>
      </c>
      <c r="E1" s="34" t="s">
        <v>51</v>
      </c>
      <c r="F1" s="34" t="s">
        <v>52</v>
      </c>
      <c r="G1" s="34" t="s">
        <v>53</v>
      </c>
      <c r="H1" s="34" t="s">
        <v>142</v>
      </c>
      <c r="I1" s="34" t="s">
        <v>145</v>
      </c>
      <c r="J1" s="34" t="s">
        <v>168</v>
      </c>
      <c r="K1" s="57" t="s">
        <v>167</v>
      </c>
      <c r="L1" s="34" t="s">
        <v>37</v>
      </c>
    </row>
    <row r="2" spans="1:12" ht="15.75" customHeight="1" x14ac:dyDescent="0.15">
      <c r="A2" s="9">
        <v>2017</v>
      </c>
      <c r="B2" s="8">
        <v>3095470</v>
      </c>
      <c r="C2" s="32">
        <v>15402200</v>
      </c>
      <c r="D2" s="32">
        <v>8785700</v>
      </c>
      <c r="E2" s="32">
        <v>13889200</v>
      </c>
      <c r="F2" s="32">
        <v>12671800</v>
      </c>
      <c r="G2" s="32">
        <v>9362400</v>
      </c>
      <c r="H2" s="32">
        <v>173766200</v>
      </c>
      <c r="I2" s="33">
        <f t="shared" ref="I2:I15" si="0">D2+E2+F2+G2</f>
        <v>44709100</v>
      </c>
      <c r="J2" s="33">
        <f t="shared" ref="J2:J15" si="1">(B2 + stillbirth*B2/(1000-stillbirth))/(1-abortion)</f>
        <v>3650590.4685349194</v>
      </c>
      <c r="K2" s="58">
        <f t="shared" ref="K2:K15" si="2">D2/I2</f>
        <v>0.19650809343064388</v>
      </c>
      <c r="L2" s="33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32">
        <v>15629400.000000002</v>
      </c>
      <c r="D3" s="32">
        <v>8937400.0000000019</v>
      </c>
      <c r="E3" s="32">
        <v>14228400.000000002</v>
      </c>
      <c r="F3" s="32">
        <v>12949600</v>
      </c>
      <c r="G3" s="32">
        <v>9576800</v>
      </c>
      <c r="H3" s="32">
        <v>175848400</v>
      </c>
      <c r="I3" s="33">
        <f t="shared" si="0"/>
        <v>45692200</v>
      </c>
      <c r="J3" s="33">
        <f t="shared" si="1"/>
        <v>3622037.632993402</v>
      </c>
      <c r="K3" s="58">
        <f t="shared" si="2"/>
        <v>0.19560012431005733</v>
      </c>
      <c r="L3" s="33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32">
        <v>15856600.000000002</v>
      </c>
      <c r="D4" s="32">
        <v>9089100.0000000019</v>
      </c>
      <c r="E4" s="32">
        <v>14567600.000000002</v>
      </c>
      <c r="F4" s="32">
        <v>13227400</v>
      </c>
      <c r="G4" s="32">
        <v>9791200.0000000019</v>
      </c>
      <c r="H4" s="32">
        <v>177930600</v>
      </c>
      <c r="I4" s="33">
        <f t="shared" si="0"/>
        <v>46675300</v>
      </c>
      <c r="J4" s="33">
        <f t="shared" si="1"/>
        <v>3591353.7424015561</v>
      </c>
      <c r="K4" s="58">
        <f t="shared" si="2"/>
        <v>0.19473040344679096</v>
      </c>
      <c r="L4" s="33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32">
        <v>16083800.000000004</v>
      </c>
      <c r="D5" s="32">
        <v>9240800.0000000037</v>
      </c>
      <c r="E5" s="32">
        <v>14906800.000000004</v>
      </c>
      <c r="F5" s="32">
        <v>13505200</v>
      </c>
      <c r="G5" s="32">
        <v>10005600.000000004</v>
      </c>
      <c r="H5" s="32">
        <v>180012800</v>
      </c>
      <c r="I5" s="33">
        <f t="shared" si="0"/>
        <v>47658400.000000015</v>
      </c>
      <c r="J5" s="33">
        <f t="shared" si="1"/>
        <v>3558361.8967828737</v>
      </c>
      <c r="K5" s="58">
        <f t="shared" si="2"/>
        <v>0.19389656387960991</v>
      </c>
      <c r="L5" s="33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32">
        <v>16311000.000000004</v>
      </c>
      <c r="D6" s="32">
        <v>9392500.0000000037</v>
      </c>
      <c r="E6" s="32">
        <v>15246000.000000004</v>
      </c>
      <c r="F6" s="32">
        <v>13783000</v>
      </c>
      <c r="G6" s="32">
        <v>10220000.000000004</v>
      </c>
      <c r="H6" s="32">
        <v>182095000</v>
      </c>
      <c r="I6" s="33">
        <f t="shared" si="0"/>
        <v>48641500.000000015</v>
      </c>
      <c r="J6" s="33">
        <f t="shared" si="1"/>
        <v>3527004.6069471212</v>
      </c>
      <c r="K6" s="58">
        <f t="shared" si="2"/>
        <v>0.1930964300031866</v>
      </c>
      <c r="L6" s="33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32">
        <v>16190600.000000004</v>
      </c>
      <c r="D7" s="32">
        <v>9004300.0000000037</v>
      </c>
      <c r="E7" s="32">
        <v>15785700.000000004</v>
      </c>
      <c r="F7" s="32">
        <v>13711700</v>
      </c>
      <c r="G7" s="32">
        <v>10609600.000000004</v>
      </c>
      <c r="H7" s="32">
        <v>183822800</v>
      </c>
      <c r="I7" s="33">
        <f t="shared" si="0"/>
        <v>49111300.000000015</v>
      </c>
      <c r="J7" s="33">
        <f t="shared" si="1"/>
        <v>3493354.6934158299</v>
      </c>
      <c r="K7" s="58">
        <f t="shared" si="2"/>
        <v>0.1833447699409301</v>
      </c>
      <c r="L7" s="33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32">
        <v>16070200.000000004</v>
      </c>
      <c r="D8" s="32">
        <v>8616100.0000000019</v>
      </c>
      <c r="E8" s="32">
        <v>16325400.000000004</v>
      </c>
      <c r="F8" s="32">
        <v>13640400</v>
      </c>
      <c r="G8" s="32">
        <v>10999200.000000002</v>
      </c>
      <c r="H8" s="32">
        <v>185550600</v>
      </c>
      <c r="I8" s="33">
        <f t="shared" si="0"/>
        <v>49581100.000000007</v>
      </c>
      <c r="J8" s="33">
        <f t="shared" si="1"/>
        <v>3457383.8521927581</v>
      </c>
      <c r="K8" s="58">
        <f t="shared" si="2"/>
        <v>0.17377791134121673</v>
      </c>
      <c r="L8" s="33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32">
        <v>15949800.000000006</v>
      </c>
      <c r="D9" s="32">
        <v>8227900.0000000019</v>
      </c>
      <c r="E9" s="32">
        <v>16865100.000000004</v>
      </c>
      <c r="F9" s="32">
        <v>13569100</v>
      </c>
      <c r="G9" s="32">
        <v>11388800</v>
      </c>
      <c r="H9" s="32">
        <v>187278400</v>
      </c>
      <c r="I9" s="33">
        <f t="shared" si="0"/>
        <v>50050900.000000007</v>
      </c>
      <c r="J9" s="33">
        <f t="shared" si="1"/>
        <v>3419187.609265219</v>
      </c>
      <c r="K9" s="58">
        <f t="shared" si="2"/>
        <v>0.16439065031797631</v>
      </c>
      <c r="L9" s="33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32">
        <v>15829400.000000006</v>
      </c>
      <c r="D10" s="32">
        <v>7839700.0000000019</v>
      </c>
      <c r="E10" s="32">
        <v>17404800.000000004</v>
      </c>
      <c r="F10" s="32">
        <v>13497800</v>
      </c>
      <c r="G10" s="32">
        <v>11778400</v>
      </c>
      <c r="H10" s="32">
        <v>189006200</v>
      </c>
      <c r="I10" s="33">
        <f t="shared" si="0"/>
        <v>50520700.000000007</v>
      </c>
      <c r="J10" s="33">
        <f t="shared" si="1"/>
        <v>3378798.9859621613</v>
      </c>
      <c r="K10" s="58">
        <f t="shared" si="2"/>
        <v>0.15517797655218554</v>
      </c>
      <c r="L10" s="33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32">
        <v>15709000.000000006</v>
      </c>
      <c r="D11" s="32">
        <v>7451500.0000000019</v>
      </c>
      <c r="E11" s="32">
        <v>17944500</v>
      </c>
      <c r="F11" s="32">
        <v>13426500</v>
      </c>
      <c r="G11" s="32">
        <v>12168000</v>
      </c>
      <c r="H11" s="32">
        <v>190734000</v>
      </c>
      <c r="I11" s="33">
        <f t="shared" si="0"/>
        <v>50990500</v>
      </c>
      <c r="J11" s="33">
        <f t="shared" si="1"/>
        <v>3344756.3544830228</v>
      </c>
      <c r="K11" s="58">
        <f t="shared" si="2"/>
        <v>0.1461350643747365</v>
      </c>
      <c r="L11" s="33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32">
        <v>15358200.000000006</v>
      </c>
      <c r="D12" s="32">
        <v>7411700.0000000019</v>
      </c>
      <c r="E12" s="32">
        <v>17710400</v>
      </c>
      <c r="F12" s="32">
        <v>13766300</v>
      </c>
      <c r="G12" s="32">
        <v>12445000</v>
      </c>
      <c r="H12" s="32">
        <v>192287600</v>
      </c>
      <c r="I12" s="33">
        <f t="shared" si="0"/>
        <v>51333400</v>
      </c>
      <c r="J12" s="33">
        <f t="shared" si="1"/>
        <v>3308667.5799422786</v>
      </c>
      <c r="K12" s="58">
        <f t="shared" si="2"/>
        <v>0.14438357872262508</v>
      </c>
      <c r="L12" s="33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32">
        <v>15007400.000000007</v>
      </c>
      <c r="D13" s="32">
        <v>7371900.0000000019</v>
      </c>
      <c r="E13" s="32">
        <v>17476300</v>
      </c>
      <c r="F13" s="32">
        <v>14106100</v>
      </c>
      <c r="G13" s="32">
        <v>12722000</v>
      </c>
      <c r="H13" s="32">
        <v>193841200</v>
      </c>
      <c r="I13" s="33">
        <f t="shared" si="0"/>
        <v>51676300</v>
      </c>
      <c r="J13" s="33">
        <f t="shared" si="1"/>
        <v>3270569.2216684073</v>
      </c>
      <c r="K13" s="58">
        <f t="shared" si="2"/>
        <v>0.14265533716616713</v>
      </c>
      <c r="L13" s="33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32">
        <v>14656600.000000007</v>
      </c>
      <c r="D14" s="32">
        <v>7332100.0000000009</v>
      </c>
      <c r="E14" s="32">
        <v>17242200</v>
      </c>
      <c r="F14" s="32">
        <v>14445900</v>
      </c>
      <c r="G14" s="32">
        <v>12999000</v>
      </c>
      <c r="H14" s="32">
        <v>195394800</v>
      </c>
      <c r="I14" s="33">
        <f t="shared" si="0"/>
        <v>52019200</v>
      </c>
      <c r="J14" s="33">
        <f t="shared" si="1"/>
        <v>3230515.5289875376</v>
      </c>
      <c r="K14" s="58">
        <f t="shared" si="2"/>
        <v>0.14094988004429135</v>
      </c>
      <c r="L14" s="33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32">
        <v>14305800.000000007</v>
      </c>
      <c r="D15" s="32">
        <v>7292300.0000000009</v>
      </c>
      <c r="E15" s="32">
        <v>17008100</v>
      </c>
      <c r="F15" s="32">
        <v>14785700</v>
      </c>
      <c r="G15" s="32">
        <v>13276000</v>
      </c>
      <c r="H15" s="32">
        <v>196948400</v>
      </c>
      <c r="I15" s="33">
        <f t="shared" si="0"/>
        <v>52362100</v>
      </c>
      <c r="J15" s="33">
        <f t="shared" si="1"/>
        <v>3188527.7298968509</v>
      </c>
      <c r="K15" s="58">
        <f t="shared" si="2"/>
        <v>0.139266759736527</v>
      </c>
      <c r="L15" s="33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17" sqref="B17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41" t="s">
        <v>171</v>
      </c>
      <c r="B1" s="1" t="s">
        <v>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15" ht="15.75" customHeight="1" x14ac:dyDescent="0.15">
      <c r="A2" s="6" t="s">
        <v>149</v>
      </c>
      <c r="B2" s="16" t="s">
        <v>151</v>
      </c>
      <c r="C2" s="52">
        <f>1-SUM(C3:C5)</f>
        <v>0.63400000000000001</v>
      </c>
      <c r="D2" s="52">
        <f t="shared" ref="D2:G2" si="0">1-SUM(D3:D5)</f>
        <v>0.63400000000000001</v>
      </c>
      <c r="E2" s="52">
        <f t="shared" si="0"/>
        <v>0.49</v>
      </c>
      <c r="F2" s="52">
        <f t="shared" si="0"/>
        <v>0.28000000000000003</v>
      </c>
      <c r="G2" s="52">
        <f t="shared" si="0"/>
        <v>0.25349999999999995</v>
      </c>
    </row>
    <row r="3" spans="1:15" ht="15.75" customHeight="1" x14ac:dyDescent="0.15">
      <c r="A3" s="5"/>
      <c r="B3" s="16" t="s">
        <v>152</v>
      </c>
      <c r="C3" s="42">
        <v>0.22600000000000001</v>
      </c>
      <c r="D3" s="42">
        <v>0.22600000000000001</v>
      </c>
      <c r="E3" s="42">
        <v>0.314</v>
      </c>
      <c r="F3" s="42">
        <v>0.33899999999999997</v>
      </c>
      <c r="G3" s="42">
        <v>0.33250000000000002</v>
      </c>
    </row>
    <row r="4" spans="1:15" ht="15.75" customHeight="1" x14ac:dyDescent="0.15">
      <c r="A4" s="5"/>
      <c r="B4" s="16" t="s">
        <v>150</v>
      </c>
      <c r="C4" s="42">
        <v>0.10199999999999999</v>
      </c>
      <c r="D4" s="42">
        <v>0.10199999999999999</v>
      </c>
      <c r="E4" s="42">
        <v>0.14699999999999999</v>
      </c>
      <c r="F4" s="42">
        <v>0.247</v>
      </c>
      <c r="G4" s="42">
        <v>0.28100000000000003</v>
      </c>
    </row>
    <row r="5" spans="1:15" ht="15.75" customHeight="1" x14ac:dyDescent="0.15">
      <c r="A5" s="5"/>
      <c r="B5" s="16" t="s">
        <v>153</v>
      </c>
      <c r="C5" s="42">
        <v>3.7999999999999999E-2</v>
      </c>
      <c r="D5" s="42">
        <v>3.7999999999999999E-2</v>
      </c>
      <c r="E5" s="42">
        <v>4.9000000000000002E-2</v>
      </c>
      <c r="F5" s="42">
        <v>0.13400000000000001</v>
      </c>
      <c r="G5" s="42">
        <v>0.13300000000000001</v>
      </c>
    </row>
    <row r="6" spans="1:15" ht="15.75" customHeight="1" x14ac:dyDescent="0.15">
      <c r="B6" s="20"/>
      <c r="C6" s="43"/>
      <c r="D6" s="43"/>
      <c r="E6" s="43"/>
      <c r="F6" s="43"/>
      <c r="G6" s="43"/>
    </row>
    <row r="7" spans="1:15" ht="15.75" customHeight="1" x14ac:dyDescent="0.15">
      <c r="B7" s="20"/>
      <c r="C7" s="43"/>
      <c r="D7" s="43"/>
      <c r="E7" s="43"/>
      <c r="F7" s="43"/>
      <c r="G7" s="43"/>
    </row>
    <row r="8" spans="1:15" ht="15.75" customHeight="1" x14ac:dyDescent="0.15">
      <c r="A8" s="3" t="s">
        <v>148</v>
      </c>
      <c r="B8" s="9" t="s">
        <v>154</v>
      </c>
      <c r="C8" s="52">
        <f t="shared" ref="C8:G8" si="1">1-SUM(C9:C11)</f>
        <v>0.56800000000000006</v>
      </c>
      <c r="D8" s="52">
        <f t="shared" si="1"/>
        <v>0.56800000000000006</v>
      </c>
      <c r="E8" s="52">
        <f t="shared" si="1"/>
        <v>0.58650000000000002</v>
      </c>
      <c r="F8" s="52">
        <f t="shared" si="1"/>
        <v>0.54900000000000004</v>
      </c>
      <c r="G8" s="52">
        <f t="shared" si="1"/>
        <v>0.49</v>
      </c>
    </row>
    <row r="9" spans="1:15" ht="15.75" customHeight="1" x14ac:dyDescent="0.15">
      <c r="B9" s="9" t="s">
        <v>155</v>
      </c>
      <c r="C9" s="42">
        <v>0.23300000000000001</v>
      </c>
      <c r="D9" s="42">
        <v>0.23300000000000001</v>
      </c>
      <c r="E9" s="42">
        <v>0.23149999999999998</v>
      </c>
      <c r="F9" s="42">
        <v>0.3</v>
      </c>
      <c r="G9" s="42">
        <v>0.38400000000000001</v>
      </c>
    </row>
    <row r="10" spans="1:15" ht="15.75" customHeight="1" x14ac:dyDescent="0.15">
      <c r="B10" s="9" t="s">
        <v>156</v>
      </c>
      <c r="C10" s="42">
        <v>0.15</v>
      </c>
      <c r="D10" s="42">
        <v>0.15</v>
      </c>
      <c r="E10" s="42">
        <v>0.129</v>
      </c>
      <c r="F10" s="42">
        <v>0.11</v>
      </c>
      <c r="G10" s="42">
        <v>0.105</v>
      </c>
    </row>
    <row r="11" spans="1:15" ht="15.75" customHeight="1" x14ac:dyDescent="0.15">
      <c r="B11" s="9" t="s">
        <v>157</v>
      </c>
      <c r="C11" s="42">
        <v>4.9000000000000002E-2</v>
      </c>
      <c r="D11" s="42">
        <v>4.9000000000000002E-2</v>
      </c>
      <c r="E11" s="42">
        <v>5.2999999999999999E-2</v>
      </c>
      <c r="F11" s="42">
        <v>4.0999999999999995E-2</v>
      </c>
      <c r="G11" s="42">
        <v>2.1000000000000001E-2</v>
      </c>
    </row>
    <row r="12" spans="1:15" ht="15.75" customHeight="1" x14ac:dyDescent="0.15">
      <c r="C12" s="12"/>
      <c r="D12" s="12"/>
      <c r="E12" s="12"/>
      <c r="F12" s="12"/>
      <c r="G12" s="12"/>
      <c r="I12" s="21"/>
      <c r="J12" s="21"/>
      <c r="K12" s="21"/>
      <c r="L12" s="21"/>
      <c r="M12" s="21"/>
      <c r="N12" s="21"/>
      <c r="O12" s="21"/>
    </row>
    <row r="13" spans="1:15" ht="27" customHeight="1" x14ac:dyDescent="0.15">
      <c r="A13" s="18" t="s">
        <v>89</v>
      </c>
      <c r="C13" s="22" t="s">
        <v>1</v>
      </c>
      <c r="D13" s="22" t="s">
        <v>2</v>
      </c>
      <c r="E13" s="22" t="s">
        <v>3</v>
      </c>
      <c r="F13" s="22" t="s">
        <v>4</v>
      </c>
      <c r="G13" s="22" t="s">
        <v>5</v>
      </c>
      <c r="H13" s="34" t="s">
        <v>54</v>
      </c>
      <c r="I13" s="34" t="s">
        <v>55</v>
      </c>
      <c r="J13" s="34" t="s">
        <v>56</v>
      </c>
      <c r="K13" s="34" t="s">
        <v>57</v>
      </c>
      <c r="L13" s="34" t="s">
        <v>50</v>
      </c>
      <c r="M13" s="34" t="s">
        <v>51</v>
      </c>
      <c r="N13" s="34" t="s">
        <v>52</v>
      </c>
      <c r="O13" s="34" t="s">
        <v>53</v>
      </c>
    </row>
    <row r="14" spans="1:15" ht="15.75" customHeight="1" x14ac:dyDescent="0.15">
      <c r="B14" s="22" t="s">
        <v>169</v>
      </c>
      <c r="C14" s="53">
        <v>0.1</v>
      </c>
      <c r="D14" s="53">
        <v>0.1</v>
      </c>
      <c r="E14" s="53">
        <v>0.74</v>
      </c>
      <c r="F14" s="53">
        <v>0.55000000000000004</v>
      </c>
      <c r="G14" s="53">
        <v>0.42699999999999999</v>
      </c>
      <c r="H14" s="54">
        <v>0.48149999999999998</v>
      </c>
      <c r="I14" s="54">
        <v>0.48149999999999998</v>
      </c>
      <c r="J14" s="54">
        <v>0.48149999999999998</v>
      </c>
      <c r="K14" s="54">
        <v>0.48149999999999998</v>
      </c>
      <c r="L14" s="54">
        <v>0.43469999999999998</v>
      </c>
      <c r="M14" s="54">
        <v>0.43469999999999998</v>
      </c>
      <c r="N14" s="54">
        <v>0.43469999999999998</v>
      </c>
      <c r="O14" s="54">
        <v>0.43469999999999998</v>
      </c>
    </row>
    <row r="15" spans="1:15" ht="15.75" customHeight="1" x14ac:dyDescent="0.15">
      <c r="B15" s="22" t="s">
        <v>87</v>
      </c>
      <c r="C15" s="52">
        <f t="shared" ref="C15:O15" si="2">iron_deficiency_anaemia*C14</f>
        <v>4.2000000000000003E-2</v>
      </c>
      <c r="D15" s="52">
        <f t="shared" si="2"/>
        <v>4.2000000000000003E-2</v>
      </c>
      <c r="E15" s="52">
        <f t="shared" si="2"/>
        <v>0.31079999999999997</v>
      </c>
      <c r="F15" s="52">
        <f t="shared" si="2"/>
        <v>0.23100000000000001</v>
      </c>
      <c r="G15" s="52">
        <f t="shared" si="2"/>
        <v>0.17934</v>
      </c>
      <c r="H15" s="52">
        <f t="shared" si="2"/>
        <v>0.20222999999999999</v>
      </c>
      <c r="I15" s="52">
        <f t="shared" si="2"/>
        <v>0.20222999999999999</v>
      </c>
      <c r="J15" s="52">
        <f t="shared" si="2"/>
        <v>0.20222999999999999</v>
      </c>
      <c r="K15" s="52">
        <f t="shared" si="2"/>
        <v>0.20222999999999999</v>
      </c>
      <c r="L15" s="52">
        <f t="shared" si="2"/>
        <v>0.18257399999999999</v>
      </c>
      <c r="M15" s="52">
        <f t="shared" si="2"/>
        <v>0.18257399999999999</v>
      </c>
      <c r="N15" s="52">
        <f t="shared" si="2"/>
        <v>0.18257399999999999</v>
      </c>
      <c r="O15" s="52">
        <f t="shared" si="2"/>
        <v>0.18257399999999999</v>
      </c>
    </row>
    <row r="16" spans="1:15" ht="15.75" customHeight="1" x14ac:dyDescent="0.15">
      <c r="C16" s="12"/>
      <c r="D16" s="12"/>
      <c r="E16" s="12"/>
      <c r="F16" s="12"/>
      <c r="G16" s="12"/>
    </row>
    <row r="17" spans="3:7" ht="15.75" customHeight="1" x14ac:dyDescent="0.15">
      <c r="C17" s="12"/>
      <c r="D17" s="12"/>
      <c r="E17" s="12"/>
      <c r="F17" s="12"/>
      <c r="G17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41" t="s">
        <v>147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15">
      <c r="A2" s="3" t="s">
        <v>24</v>
      </c>
      <c r="B2" s="72" t="s">
        <v>209</v>
      </c>
      <c r="C2" s="42">
        <v>0.80299999999999994</v>
      </c>
      <c r="D2" s="42">
        <v>0.46200000000000002</v>
      </c>
      <c r="E2" s="42">
        <v>3.3000000000000002E-2</v>
      </c>
      <c r="F2" s="42">
        <v>6.9999999999999993E-3</v>
      </c>
      <c r="G2" s="42">
        <v>0</v>
      </c>
    </row>
    <row r="3" spans="1:7" x14ac:dyDescent="0.15">
      <c r="B3" s="72" t="s">
        <v>210</v>
      </c>
      <c r="C3" s="42">
        <v>6.8000000000000005E-2</v>
      </c>
      <c r="D3" s="42">
        <v>0.16300000000000001</v>
      </c>
      <c r="E3" s="42">
        <v>9.4E-2</v>
      </c>
      <c r="F3" s="42">
        <v>4.4999999999999998E-2</v>
      </c>
      <c r="G3" s="42">
        <v>0</v>
      </c>
    </row>
    <row r="4" spans="1:7" x14ac:dyDescent="0.15">
      <c r="B4" s="72" t="s">
        <v>211</v>
      </c>
      <c r="C4" s="42">
        <v>0.107</v>
      </c>
      <c r="D4" s="42">
        <v>0.37</v>
      </c>
      <c r="E4" s="42">
        <v>0.83700000000000008</v>
      </c>
      <c r="F4" s="42">
        <v>0.879</v>
      </c>
      <c r="G4" s="42">
        <v>0</v>
      </c>
    </row>
    <row r="5" spans="1:7" x14ac:dyDescent="0.15">
      <c r="B5" s="72" t="s">
        <v>212</v>
      </c>
      <c r="C5" s="52">
        <f>1-SUM(C2:C4)</f>
        <v>2.200000000000002E-2</v>
      </c>
      <c r="D5" s="52">
        <f t="shared" ref="D5:G5" si="0">1-SUM(D2:D4)</f>
        <v>5.0000000000000044E-3</v>
      </c>
      <c r="E5" s="52">
        <f t="shared" si="0"/>
        <v>3.5999999999999921E-2</v>
      </c>
      <c r="F5" s="52">
        <f t="shared" si="0"/>
        <v>6.899999999999995E-2</v>
      </c>
      <c r="G5" s="5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181</v>
      </c>
      <c r="B1" s="4" t="s">
        <v>188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182</v>
      </c>
      <c r="B2" s="20" t="s">
        <v>186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15">
      <c r="B3" s="20"/>
    </row>
    <row r="4" spans="1:11" x14ac:dyDescent="0.15">
      <c r="A4" t="s">
        <v>183</v>
      </c>
      <c r="B4" s="20" t="s">
        <v>186</v>
      </c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15">
      <c r="B5" s="20"/>
    </row>
    <row r="6" spans="1:11" x14ac:dyDescent="0.15">
      <c r="A6" t="s">
        <v>184</v>
      </c>
      <c r="B6" s="20" t="s">
        <v>186</v>
      </c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15">
      <c r="B7" s="20" t="s">
        <v>32</v>
      </c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15">
      <c r="B8" s="20" t="s">
        <v>187</v>
      </c>
      <c r="C8" s="42"/>
      <c r="D8" s="42"/>
      <c r="E8" s="42"/>
      <c r="F8" s="42"/>
      <c r="G8" s="42"/>
      <c r="H8" s="42"/>
      <c r="I8" s="42"/>
      <c r="J8" s="42"/>
      <c r="K8" s="42"/>
    </row>
    <row r="10" spans="1:11" x14ac:dyDescent="0.15">
      <c r="A10" t="s">
        <v>185</v>
      </c>
      <c r="B10" s="22" t="s">
        <v>190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x14ac:dyDescent="0.15">
      <c r="B11" s="56" t="s">
        <v>189</v>
      </c>
      <c r="C11" s="42"/>
      <c r="D11" s="42"/>
      <c r="E11" s="42"/>
      <c r="F11" s="42"/>
      <c r="G11" s="42"/>
      <c r="H11" s="42"/>
      <c r="I11" s="42"/>
      <c r="J11" s="42"/>
      <c r="K11" s="42"/>
    </row>
    <row r="13" spans="1:11" x14ac:dyDescent="0.15">
      <c r="A13" s="18" t="s">
        <v>93</v>
      </c>
      <c r="B13" s="56" t="s">
        <v>191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x14ac:dyDescent="0.15">
      <c r="B14" s="22" t="s">
        <v>213</v>
      </c>
      <c r="C14" s="42"/>
      <c r="D14" s="42"/>
      <c r="E14" s="42"/>
      <c r="F14" s="42"/>
      <c r="G14" s="42"/>
      <c r="H14" s="42"/>
      <c r="I14" s="42"/>
      <c r="J14" s="42"/>
      <c r="K14" s="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9" sqref="C9"/>
    </sheetView>
  </sheetViews>
  <sheetFormatPr baseColWidth="10" defaultColWidth="11.5" defaultRowHeight="13" x14ac:dyDescent="0.15"/>
  <cols>
    <col min="1" max="1" width="37.1640625" style="18" customWidth="1"/>
    <col min="2" max="2" width="44.33203125" style="18" customWidth="1"/>
    <col min="3" max="3" width="16.5" style="18" customWidth="1"/>
    <col min="4" max="16384" width="11.5" style="18"/>
  </cols>
  <sheetData>
    <row r="1" spans="1:3" s="47" customFormat="1" ht="31.5" customHeight="1" x14ac:dyDescent="0.15">
      <c r="A1" s="45" t="s">
        <v>160</v>
      </c>
      <c r="B1" s="70" t="s">
        <v>207</v>
      </c>
      <c r="C1" s="46" t="s">
        <v>158</v>
      </c>
    </row>
    <row r="2" spans="1:3" ht="14.25" customHeight="1" x14ac:dyDescent="0.15">
      <c r="A2" s="13" t="s">
        <v>159</v>
      </c>
      <c r="B2" s="44" t="s">
        <v>94</v>
      </c>
      <c r="C2" s="48">
        <v>0.15</v>
      </c>
    </row>
    <row r="3" spans="1:3" ht="14.25" customHeight="1" x14ac:dyDescent="0.15">
      <c r="B3" s="44" t="s">
        <v>95</v>
      </c>
      <c r="C3" s="48">
        <v>0.03</v>
      </c>
    </row>
    <row r="4" spans="1:3" ht="14.25" customHeight="1" x14ac:dyDescent="0.15">
      <c r="B4" s="44" t="s">
        <v>96</v>
      </c>
      <c r="C4" s="48">
        <v>0</v>
      </c>
    </row>
    <row r="5" spans="1:3" ht="14.25" customHeight="1" x14ac:dyDescent="0.15">
      <c r="B5" s="44" t="s">
        <v>97</v>
      </c>
      <c r="C5" s="48">
        <v>0.19</v>
      </c>
    </row>
    <row r="6" spans="1:3" ht="14.25" customHeight="1" x14ac:dyDescent="0.15">
      <c r="B6" s="44" t="s">
        <v>98</v>
      </c>
      <c r="C6" s="48">
        <v>0.39</v>
      </c>
    </row>
    <row r="7" spans="1:3" ht="14.25" customHeight="1" x14ac:dyDescent="0.15">
      <c r="B7" s="44" t="s">
        <v>99</v>
      </c>
      <c r="C7" s="48">
        <v>0.19</v>
      </c>
    </row>
    <row r="8" spans="1:3" ht="14.25" customHeight="1" x14ac:dyDescent="0.15">
      <c r="B8" s="44" t="s">
        <v>100</v>
      </c>
      <c r="C8" s="48">
        <v>1E-3</v>
      </c>
    </row>
    <row r="9" spans="1:3" ht="14.25" customHeight="1" x14ac:dyDescent="0.15">
      <c r="B9" s="44" t="s">
        <v>101</v>
      </c>
      <c r="C9" s="48">
        <v>7.0000000000000001E-3</v>
      </c>
    </row>
    <row r="10" spans="1:3" ht="14.25" customHeight="1" x14ac:dyDescent="0.15">
      <c r="B10" s="44" t="s">
        <v>102</v>
      </c>
      <c r="C10" s="48">
        <v>0.04</v>
      </c>
    </row>
    <row r="11" spans="1:3" ht="14.25" customHeight="1" x14ac:dyDescent="0.15">
      <c r="B11" s="51" t="s">
        <v>166</v>
      </c>
      <c r="C11" s="50">
        <f>SUM(C2:C10)</f>
        <v>0.998</v>
      </c>
    </row>
    <row r="12" spans="1:3" ht="14.25" customHeight="1" x14ac:dyDescent="0.15">
      <c r="B12" s="47"/>
      <c r="C12" s="47"/>
    </row>
    <row r="13" spans="1:3" ht="14.25" customHeight="1" x14ac:dyDescent="0.15">
      <c r="A13" s="13" t="s">
        <v>103</v>
      </c>
      <c r="B13" s="44" t="s">
        <v>104</v>
      </c>
      <c r="C13" s="48">
        <v>0.34</v>
      </c>
    </row>
    <row r="14" spans="1:3" ht="14.25" customHeight="1" x14ac:dyDescent="0.15">
      <c r="B14" s="44" t="s">
        <v>105</v>
      </c>
      <c r="C14" s="48">
        <v>0.05</v>
      </c>
    </row>
    <row r="15" spans="1:3" ht="14.25" customHeight="1" x14ac:dyDescent="0.15">
      <c r="B15" s="44" t="s">
        <v>106</v>
      </c>
      <c r="C15" s="48">
        <v>7.0000000000000007E-2</v>
      </c>
    </row>
    <row r="16" spans="1:3" ht="14.25" customHeight="1" x14ac:dyDescent="0.15">
      <c r="B16" s="44" t="s">
        <v>107</v>
      </c>
      <c r="C16" s="48">
        <v>0.54</v>
      </c>
    </row>
    <row r="17" spans="2:3" x14ac:dyDescent="0.15">
      <c r="B17" s="51" t="s">
        <v>166</v>
      </c>
      <c r="C17" s="50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90</v>
      </c>
      <c r="B2" s="40">
        <f>'Baseline year population inputs'!C39</f>
        <v>2.4300000000000002</v>
      </c>
      <c r="C2" s="40">
        <f>'Baseline year population inputs'!C40</f>
        <v>2.4300000000000002</v>
      </c>
      <c r="D2" s="40">
        <f>'Baseline year population inputs'!C41</f>
        <v>3.71</v>
      </c>
      <c r="E2" s="40">
        <f>'Baseline year population inputs'!C42</f>
        <v>3</v>
      </c>
      <c r="F2" s="40">
        <f>'Baseline year population inputs'!C43</f>
        <v>1.92</v>
      </c>
    </row>
    <row r="3" spans="1:6" ht="15.75" customHeight="1" x14ac:dyDescent="0.15">
      <c r="A3" s="3" t="s">
        <v>82</v>
      </c>
      <c r="B3" s="40">
        <f>frac_mam_1month * 2.6</f>
        <v>0.39</v>
      </c>
      <c r="C3" s="40">
        <f>frac_mam_1_5months * 2.6</f>
        <v>0.39</v>
      </c>
      <c r="D3" s="40">
        <f>frac_mam_6_11months * 2.6</f>
        <v>0.33540000000000003</v>
      </c>
      <c r="E3" s="40">
        <f>frac_mam_12_23months * 2.6</f>
        <v>0.28600000000000003</v>
      </c>
      <c r="F3" s="40">
        <f>frac_mam_24_59months * 2.6</f>
        <v>0.27300000000000002</v>
      </c>
    </row>
    <row r="4" spans="1:6" ht="15.75" customHeight="1" x14ac:dyDescent="0.15">
      <c r="A4" s="3" t="s">
        <v>83</v>
      </c>
      <c r="B4" s="40">
        <f>frac_sam_1month * 2.6</f>
        <v>0.12740000000000001</v>
      </c>
      <c r="C4" s="40">
        <f>frac_sam_1_5months * 2.6</f>
        <v>0.12740000000000001</v>
      </c>
      <c r="D4" s="40">
        <f>frac_sam_6_11months * 2.6</f>
        <v>0.13780000000000001</v>
      </c>
      <c r="E4" s="40">
        <f>frac_sam_12_23months * 2.6</f>
        <v>0.10659999999999999</v>
      </c>
      <c r="F4" s="40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53"/>
  <sheetViews>
    <sheetView zoomScale="85" zoomScaleNormal="118" workbookViewId="0">
      <selection activeCell="A36" sqref="A36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88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t="15.75" customHeight="1" x14ac:dyDescent="0.15">
      <c r="A2" s="4" t="s">
        <v>31</v>
      </c>
      <c r="B2" s="16" t="s">
        <v>77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16" t="s">
        <v>28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16" t="s">
        <v>66</v>
      </c>
      <c r="C4" s="2">
        <v>0</v>
      </c>
      <c r="D4" s="2">
        <v>0</v>
      </c>
      <c r="E4" s="59">
        <f>food_insecure</f>
        <v>0.36</v>
      </c>
      <c r="F4" s="59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16" t="s">
        <v>177</v>
      </c>
      <c r="C5" s="2">
        <v>0</v>
      </c>
      <c r="D5" s="2">
        <v>0</v>
      </c>
      <c r="E5" s="59">
        <f>food_insecure*(1-frac_malaria_risk)</f>
        <v>0.32400000000000001</v>
      </c>
      <c r="F5" s="59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16" t="s">
        <v>178</v>
      </c>
      <c r="C6" s="2">
        <v>0</v>
      </c>
      <c r="D6" s="2">
        <v>0</v>
      </c>
      <c r="E6" s="59">
        <f>food_insecure*frac_malaria_risk</f>
        <v>3.5999999999999997E-2</v>
      </c>
      <c r="F6" s="59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16" t="s">
        <v>179</v>
      </c>
      <c r="C7" s="2">
        <v>0</v>
      </c>
      <c r="D7" s="2">
        <v>0</v>
      </c>
      <c r="E7" s="59">
        <f>(1-frac_malaria_risk)</f>
        <v>0.9</v>
      </c>
      <c r="F7" s="59">
        <f>(1-frac_malaria_risk)</f>
        <v>0.9</v>
      </c>
      <c r="G7" s="59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16" t="s">
        <v>180</v>
      </c>
      <c r="C8" s="2">
        <v>0</v>
      </c>
      <c r="D8" s="2">
        <v>0</v>
      </c>
      <c r="E8" s="59">
        <f>frac_malaria_risk</f>
        <v>0.1</v>
      </c>
      <c r="F8" s="59">
        <f>frac_malaria_risk</f>
        <v>0.1</v>
      </c>
      <c r="G8" s="59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16" t="s">
        <v>78</v>
      </c>
      <c r="C9" s="17">
        <v>0</v>
      </c>
      <c r="D9" s="59">
        <f>food_insecure</f>
        <v>0.36</v>
      </c>
      <c r="E9" s="59">
        <f>food_insecure</f>
        <v>0.36</v>
      </c>
      <c r="F9" s="59">
        <f>food_insecure</f>
        <v>0.36</v>
      </c>
      <c r="G9" s="59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16" t="s">
        <v>84</v>
      </c>
      <c r="C10" s="17">
        <v>0</v>
      </c>
      <c r="D10" s="17">
        <v>1</v>
      </c>
      <c r="E10" s="17">
        <v>1</v>
      </c>
      <c r="F10" s="17">
        <v>1</v>
      </c>
      <c r="G10" s="17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16" t="s">
        <v>85</v>
      </c>
      <c r="C11" s="17">
        <v>0</v>
      </c>
      <c r="D11" s="17">
        <v>1</v>
      </c>
      <c r="E11" s="17">
        <v>1</v>
      </c>
      <c r="F11" s="17">
        <v>1</v>
      </c>
      <c r="G11" s="17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9" t="s">
        <v>192</v>
      </c>
      <c r="C12" s="62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5.75" customHeight="1" x14ac:dyDescent="0.15">
      <c r="B13" s="55"/>
    </row>
    <row r="14" spans="1:15" ht="15.75" customHeight="1" x14ac:dyDescent="0.15">
      <c r="A14" s="4" t="s">
        <v>32</v>
      </c>
      <c r="B14" s="55" t="s">
        <v>29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59">
        <f>food_insecure</f>
        <v>0.36</v>
      </c>
      <c r="I14" s="59">
        <f>food_insecure</f>
        <v>0.36</v>
      </c>
      <c r="J14" s="59">
        <f>food_insecure</f>
        <v>0.36</v>
      </c>
      <c r="K14" s="59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55" t="s">
        <v>74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60">
        <f>1-frac_malaria_risk</f>
        <v>0.9</v>
      </c>
      <c r="I15" s="60">
        <f>1-frac_malaria_risk</f>
        <v>0.9</v>
      </c>
      <c r="J15" s="60">
        <f>1-frac_malaria_risk</f>
        <v>0.9</v>
      </c>
      <c r="K15" s="60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55" t="s">
        <v>75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59">
        <f>frac_malaria_risk</f>
        <v>0.1</v>
      </c>
      <c r="I16" s="59">
        <f>frac_malaria_risk</f>
        <v>0.1</v>
      </c>
      <c r="J16" s="59">
        <f>frac_malaria_risk</f>
        <v>0.1</v>
      </c>
      <c r="K16" s="59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16" t="s">
        <v>34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60">
        <f xml:space="preserve"> 1-frac_malaria_risk</f>
        <v>0.9</v>
      </c>
      <c r="I17" s="60">
        <f xml:space="preserve"> 1-frac_malaria_risk</f>
        <v>0.9</v>
      </c>
      <c r="J17" s="60">
        <f xml:space="preserve"> 1-frac_malaria_risk</f>
        <v>0.9</v>
      </c>
      <c r="K17" s="60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16" t="s">
        <v>76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60">
        <f t="shared" ref="H18:K19" si="0">frac_malaria_risk</f>
        <v>0.1</v>
      </c>
      <c r="I18" s="60">
        <f t="shared" si="0"/>
        <v>0.1</v>
      </c>
      <c r="J18" s="60">
        <f t="shared" si="0"/>
        <v>0.1</v>
      </c>
      <c r="K18" s="60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55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0">
        <f t="shared" si="0"/>
        <v>0.1</v>
      </c>
      <c r="I19" s="60">
        <f t="shared" si="0"/>
        <v>0.1</v>
      </c>
      <c r="J19" s="60">
        <f t="shared" si="0"/>
        <v>0.1</v>
      </c>
      <c r="K19" s="60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55"/>
    </row>
    <row r="21" spans="1:15" ht="15.75" customHeight="1" x14ac:dyDescent="0.15">
      <c r="A21" s="4" t="s">
        <v>38</v>
      </c>
      <c r="B21" s="55" t="s">
        <v>59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1">
        <v>0</v>
      </c>
      <c r="J21" s="11">
        <v>0</v>
      </c>
      <c r="K21" s="11">
        <v>0</v>
      </c>
      <c r="L21" s="59">
        <f>food_insecure*(1-frac_malaria_risk)*1*school_attendance</f>
        <v>0.114048</v>
      </c>
      <c r="M21" s="59">
        <v>0</v>
      </c>
      <c r="N21" s="59">
        <v>0</v>
      </c>
      <c r="O21" s="59">
        <v>0</v>
      </c>
    </row>
    <row r="22" spans="1:15" ht="15.75" customHeight="1" x14ac:dyDescent="0.15">
      <c r="B22" s="55" t="s">
        <v>60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1">
        <v>0</v>
      </c>
      <c r="J22" s="11">
        <v>0</v>
      </c>
      <c r="K22" s="11">
        <v>0</v>
      </c>
      <c r="L22" s="59">
        <f>food_insecure*(1-frac_malaria_risk)*(0.7)*(1-school_attendance)</f>
        <v>0.1469664</v>
      </c>
      <c r="M22" s="59">
        <f>food_insecure*(1-frac_malaria_risk)*(0.7)</f>
        <v>0.2268</v>
      </c>
      <c r="N22" s="59">
        <f>food_insecure*(1-frac_malaria_risk)*(0.7)</f>
        <v>0.2268</v>
      </c>
      <c r="O22" s="59">
        <f>food_insecure*(1-frac_malaria_risk)*(0.7)</f>
        <v>0.2268</v>
      </c>
    </row>
    <row r="23" spans="1:15" ht="15.75" customHeight="1" x14ac:dyDescent="0.15">
      <c r="B23" s="55" t="s">
        <v>61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1">
        <v>0</v>
      </c>
      <c r="J23" s="11">
        <v>0</v>
      </c>
      <c r="K23" s="11">
        <v>0</v>
      </c>
      <c r="L23" s="59">
        <f>food_insecure*(1-frac_malaria_risk)*(0.3)*(1-school_attendance)</f>
        <v>6.2985600000000003E-2</v>
      </c>
      <c r="M23" s="59">
        <f>food_insecure*(1-frac_malaria_risk)*(0.3)</f>
        <v>9.7199999999999995E-2</v>
      </c>
      <c r="N23" s="59">
        <f>food_insecure*(1-frac_malaria_risk)*(0.3)</f>
        <v>9.7199999999999995E-2</v>
      </c>
      <c r="O23" s="59">
        <f>food_insecure*(1-frac_malaria_risk)*(0.3)</f>
        <v>9.7199999999999995E-2</v>
      </c>
    </row>
    <row r="24" spans="1:15" ht="15.75" customHeight="1" x14ac:dyDescent="0.15">
      <c r="B24" s="55" t="s">
        <v>62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1">
        <v>0</v>
      </c>
      <c r="J24" s="11">
        <v>0</v>
      </c>
      <c r="K24" s="11">
        <v>0</v>
      </c>
      <c r="L24" s="59">
        <f>(1-food_insecure)*(1-frac_malaria_risk)*1*school_attendance</f>
        <v>0.20275200000000002</v>
      </c>
      <c r="M24" s="59">
        <v>0</v>
      </c>
      <c r="N24" s="59">
        <v>0</v>
      </c>
      <c r="O24" s="59">
        <v>0</v>
      </c>
    </row>
    <row r="25" spans="1:15" ht="15.75" customHeight="1" x14ac:dyDescent="0.15">
      <c r="B25" s="55" t="s">
        <v>63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1">
        <v>0</v>
      </c>
      <c r="J25" s="11">
        <v>0</v>
      </c>
      <c r="K25" s="11">
        <v>0</v>
      </c>
      <c r="L25" s="59">
        <f>(1-food_insecure)*(1-frac_malaria_risk)*(0.49)*(1-school_attendance)</f>
        <v>0.18289152000000003</v>
      </c>
      <c r="M25" s="59">
        <f>(1-food_insecure)*(1-frac_malaria_risk)*(0.49)</f>
        <v>0.28224000000000005</v>
      </c>
      <c r="N25" s="59">
        <f>(1-food_insecure)*(1-frac_malaria_risk)*(0.49)</f>
        <v>0.28224000000000005</v>
      </c>
      <c r="O25" s="59">
        <f>(1-food_insecure)*(1-frac_malaria_risk)*(0.49)</f>
        <v>0.28224000000000005</v>
      </c>
    </row>
    <row r="26" spans="1:15" ht="15.75" customHeight="1" x14ac:dyDescent="0.15">
      <c r="B26" s="55" t="s">
        <v>64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1">
        <v>0</v>
      </c>
      <c r="J26" s="11">
        <v>0</v>
      </c>
      <c r="K26" s="11">
        <v>0</v>
      </c>
      <c r="L26" s="59">
        <f>(1-food_insecure)*(1-frac_malaria_risk)*(0.21)*(1-school_attendance)</f>
        <v>7.8382080000000007E-2</v>
      </c>
      <c r="M26" s="59">
        <f>(1-food_insecure)*(1-frac_malaria_risk)*(0.21)</f>
        <v>0.12096000000000001</v>
      </c>
      <c r="N26" s="59">
        <f>(1-food_insecure)*(1-frac_malaria_risk)*(0.21)</f>
        <v>0.12096000000000001</v>
      </c>
      <c r="O26" s="59">
        <f>(1-food_insecure)*(1-frac_malaria_risk)*(0.21)</f>
        <v>0.12096000000000001</v>
      </c>
    </row>
    <row r="27" spans="1:15" ht="15.75" customHeight="1" x14ac:dyDescent="0.15">
      <c r="B27" s="55" t="s">
        <v>65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1">
        <v>0</v>
      </c>
      <c r="J27" s="11">
        <v>0</v>
      </c>
      <c r="K27" s="11">
        <v>0</v>
      </c>
      <c r="L27" s="59">
        <f>(1-food_insecure)*(1-frac_malaria_risk)*(0.3)*(1-school_attendance)</f>
        <v>0.11197440000000002</v>
      </c>
      <c r="M27" s="59">
        <f>(1-food_insecure)*(1-frac_malaria_risk)*(0.3)</f>
        <v>0.17280000000000001</v>
      </c>
      <c r="N27" s="59">
        <f>(1-food_insecure)*(1-frac_malaria_risk)*(0.3)</f>
        <v>0.17280000000000001</v>
      </c>
      <c r="O27" s="59">
        <f>(1-food_insecure)*(1-frac_malaria_risk)*(0.3)</f>
        <v>0.17280000000000001</v>
      </c>
    </row>
    <row r="28" spans="1:15" ht="15.75" customHeight="1" x14ac:dyDescent="0.15">
      <c r="A28" s="4"/>
      <c r="B28" s="55" t="s">
        <v>67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1">
        <v>0</v>
      </c>
      <c r="J28" s="11">
        <v>0</v>
      </c>
      <c r="K28" s="11">
        <v>0</v>
      </c>
      <c r="L28" s="59">
        <f>food_insecure*(frac_malaria_risk)*1*school_attendance</f>
        <v>1.2671999999999998E-2</v>
      </c>
      <c r="M28" s="59">
        <v>0</v>
      </c>
      <c r="N28" s="59">
        <v>0</v>
      </c>
      <c r="O28" s="59">
        <v>0</v>
      </c>
    </row>
    <row r="29" spans="1:15" ht="15.75" customHeight="1" x14ac:dyDescent="0.15">
      <c r="B29" s="55" t="s">
        <v>68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1">
        <v>0</v>
      </c>
      <c r="J29" s="11">
        <v>0</v>
      </c>
      <c r="K29" s="11">
        <v>0</v>
      </c>
      <c r="L29" s="59">
        <f>food_insecure*(frac_malaria_risk)*(0.7)*(1-school_attendance)</f>
        <v>1.63296E-2</v>
      </c>
      <c r="M29" s="59">
        <f>food_insecure*(frac_malaria_risk)*(0.7)</f>
        <v>2.5199999999999997E-2</v>
      </c>
      <c r="N29" s="59">
        <f>food_insecure*(frac_malaria_risk)*(0.7)</f>
        <v>2.5199999999999997E-2</v>
      </c>
      <c r="O29" s="59">
        <f>food_insecure*(frac_malaria_risk)*(0.7)</f>
        <v>2.5199999999999997E-2</v>
      </c>
    </row>
    <row r="30" spans="1:15" ht="15.75" customHeight="1" x14ac:dyDescent="0.15">
      <c r="B30" s="55" t="s">
        <v>69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1">
        <v>0</v>
      </c>
      <c r="J30" s="11">
        <v>0</v>
      </c>
      <c r="K30" s="11">
        <v>0</v>
      </c>
      <c r="L30" s="59">
        <f>food_insecure*(frac_malaria_risk)*(0.3)*(1-school_attendance)</f>
        <v>6.9983999999999992E-3</v>
      </c>
      <c r="M30" s="59">
        <f>food_insecure*(1-frac_malaria_risk)*(0.3)</f>
        <v>9.7199999999999995E-2</v>
      </c>
      <c r="N30" s="59">
        <f>food_insecure*(1-frac_malaria_risk)*(0.3)</f>
        <v>9.7199999999999995E-2</v>
      </c>
      <c r="O30" s="59">
        <f>food_insecure*(1-frac_malaria_risk)*(0.3)</f>
        <v>9.7199999999999995E-2</v>
      </c>
    </row>
    <row r="31" spans="1:15" ht="15.75" customHeight="1" x14ac:dyDescent="0.15">
      <c r="B31" s="55" t="s">
        <v>70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1">
        <v>0</v>
      </c>
      <c r="J31" s="11">
        <v>0</v>
      </c>
      <c r="K31" s="11">
        <v>0</v>
      </c>
      <c r="L31" s="59">
        <f>(1-food_insecure)*(frac_malaria_risk)*1*school_attendance</f>
        <v>2.2527999999999999E-2</v>
      </c>
      <c r="M31" s="59">
        <v>0</v>
      </c>
      <c r="N31" s="59">
        <v>0</v>
      </c>
      <c r="O31" s="59">
        <v>0</v>
      </c>
    </row>
    <row r="32" spans="1:15" ht="15.75" customHeight="1" x14ac:dyDescent="0.15">
      <c r="B32" s="55" t="s">
        <v>71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1">
        <v>0</v>
      </c>
      <c r="J32" s="11">
        <v>0</v>
      </c>
      <c r="K32" s="11">
        <v>0</v>
      </c>
      <c r="L32" s="59">
        <f>(1-food_insecure)*(frac_malaria_risk)*(0.49)*(1-school_attendance)</f>
        <v>2.0321280000000001E-2</v>
      </c>
      <c r="M32" s="59">
        <f>(1-food_insecure)*(frac_malaria_risk)*(0.49)</f>
        <v>3.1359999999999999E-2</v>
      </c>
      <c r="N32" s="59">
        <f>(1-food_insecure)*(frac_malaria_risk)*(0.49)</f>
        <v>3.1359999999999999E-2</v>
      </c>
      <c r="O32" s="59">
        <f>(1-food_insecure)*(frac_malaria_risk)*(0.49)</f>
        <v>3.1359999999999999E-2</v>
      </c>
    </row>
    <row r="33" spans="1:15" ht="15.75" customHeight="1" x14ac:dyDescent="0.15">
      <c r="B33" s="55" t="s">
        <v>72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1">
        <v>0</v>
      </c>
      <c r="J33" s="11">
        <v>0</v>
      </c>
      <c r="K33" s="11">
        <v>0</v>
      </c>
      <c r="L33" s="59">
        <f>(1-food_insecure)*(frac_malaria_risk)*(0.21)*(1-school_attendance)</f>
        <v>8.7091200000000007E-3</v>
      </c>
      <c r="M33" s="59">
        <f>(1-food_insecure)*(frac_malaria_risk)*(0.21)</f>
        <v>1.3440000000000001E-2</v>
      </c>
      <c r="N33" s="59">
        <f>(1-food_insecure)*(frac_malaria_risk)*(0.21)</f>
        <v>1.3440000000000001E-2</v>
      </c>
      <c r="O33" s="59">
        <f>(1-food_insecure)*(frac_malaria_risk)*(0.21)</f>
        <v>1.3440000000000001E-2</v>
      </c>
    </row>
    <row r="34" spans="1:15" ht="15.75" customHeight="1" x14ac:dyDescent="0.15">
      <c r="B34" s="55" t="s">
        <v>73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1">
        <v>0</v>
      </c>
      <c r="J34" s="11">
        <v>0</v>
      </c>
      <c r="K34" s="11">
        <v>0</v>
      </c>
      <c r="L34" s="59">
        <f>(1-food_insecure)*(frac_malaria_risk)*(0.3)*(1-school_attendance)</f>
        <v>1.2441599999999999E-2</v>
      </c>
      <c r="M34" s="59">
        <f>(1-food_insecure)*(frac_malaria_risk)*(0.3)</f>
        <v>1.9199999999999998E-2</v>
      </c>
      <c r="N34" s="59">
        <f>(1-food_insecure)*(frac_malaria_risk)*(0.3)</f>
        <v>1.9199999999999998E-2</v>
      </c>
      <c r="O34" s="59">
        <f>(1-food_insecure)*(frac_malaria_risk)*(0.3)</f>
        <v>1.9199999999999998E-2</v>
      </c>
    </row>
    <row r="35" spans="1:15" ht="15.75" customHeight="1" x14ac:dyDescent="0.15">
      <c r="B35" s="55" t="s">
        <v>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1">
        <v>0</v>
      </c>
      <c r="J35" s="11">
        <v>0</v>
      </c>
      <c r="K35" s="11">
        <v>0</v>
      </c>
      <c r="L35" s="59">
        <v>1</v>
      </c>
      <c r="M35" s="59">
        <v>1</v>
      </c>
      <c r="N35" s="59">
        <v>1</v>
      </c>
      <c r="O35" s="59">
        <v>1</v>
      </c>
    </row>
    <row r="36" spans="1:15" ht="15.75" customHeight="1" x14ac:dyDescent="0.15">
      <c r="B36" s="55" t="s">
        <v>118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1">
        <v>0</v>
      </c>
      <c r="J36" s="11">
        <v>0</v>
      </c>
      <c r="K36" s="11">
        <v>0</v>
      </c>
      <c r="L36" s="61">
        <v>1</v>
      </c>
      <c r="M36" s="61">
        <v>1</v>
      </c>
      <c r="N36" s="61">
        <v>1</v>
      </c>
      <c r="O36" s="61">
        <v>1</v>
      </c>
    </row>
    <row r="37" spans="1:15" ht="15.75" customHeight="1" x14ac:dyDescent="0.15">
      <c r="B37" s="16"/>
      <c r="C37" s="2"/>
      <c r="D37" s="2"/>
      <c r="E37" s="15"/>
      <c r="F37" s="15"/>
      <c r="G37" s="15"/>
      <c r="H37" s="15"/>
      <c r="I37" s="15"/>
    </row>
    <row r="38" spans="1:15" ht="15.75" customHeight="1" x14ac:dyDescent="0.15">
      <c r="A38" s="4" t="s">
        <v>36</v>
      </c>
      <c r="B38" s="55" t="s">
        <v>108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55" t="s">
        <v>109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55" t="s">
        <v>110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55" t="s">
        <v>111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55" t="s">
        <v>112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55" t="s">
        <v>113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55" t="s">
        <v>114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16" t="s">
        <v>115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16" t="s">
        <v>116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16" t="s">
        <v>117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16" t="s">
        <v>35</v>
      </c>
      <c r="C48" s="60">
        <f t="shared" ref="C48:O48" si="1">frac_malaria_risk</f>
        <v>0.1</v>
      </c>
      <c r="D48" s="60">
        <f t="shared" si="1"/>
        <v>0.1</v>
      </c>
      <c r="E48" s="60">
        <f t="shared" si="1"/>
        <v>0.1</v>
      </c>
      <c r="F48" s="60">
        <f t="shared" si="1"/>
        <v>0.1</v>
      </c>
      <c r="G48" s="60">
        <f t="shared" si="1"/>
        <v>0.1</v>
      </c>
      <c r="H48" s="60">
        <f t="shared" si="1"/>
        <v>0.1</v>
      </c>
      <c r="I48" s="60">
        <f t="shared" si="1"/>
        <v>0.1</v>
      </c>
      <c r="J48" s="60">
        <f t="shared" si="1"/>
        <v>0.1</v>
      </c>
      <c r="K48" s="60">
        <f t="shared" si="1"/>
        <v>0.1</v>
      </c>
      <c r="L48" s="60">
        <f t="shared" si="1"/>
        <v>0.1</v>
      </c>
      <c r="M48" s="60">
        <f t="shared" si="1"/>
        <v>0.1</v>
      </c>
      <c r="N48" s="60">
        <f t="shared" si="1"/>
        <v>0.1</v>
      </c>
      <c r="O48" s="60">
        <f t="shared" si="1"/>
        <v>0.1</v>
      </c>
    </row>
    <row r="49" spans="2:15" s="5" customFormat="1" ht="15.75" customHeight="1" x14ac:dyDescent="0.15">
      <c r="B49" s="16" t="s">
        <v>79</v>
      </c>
      <c r="C49" s="17">
        <v>0</v>
      </c>
      <c r="D49" s="17">
        <v>0</v>
      </c>
      <c r="E49" s="60">
        <f t="shared" ref="E49:O49" si="2">frac_wheat</f>
        <v>0.12</v>
      </c>
      <c r="F49" s="60">
        <f t="shared" si="2"/>
        <v>0.12</v>
      </c>
      <c r="G49" s="60">
        <f t="shared" si="2"/>
        <v>0.12</v>
      </c>
      <c r="H49" s="60">
        <f t="shared" si="2"/>
        <v>0.12</v>
      </c>
      <c r="I49" s="60">
        <f t="shared" si="2"/>
        <v>0.12</v>
      </c>
      <c r="J49" s="60">
        <f t="shared" si="2"/>
        <v>0.12</v>
      </c>
      <c r="K49" s="60">
        <f t="shared" si="2"/>
        <v>0.12</v>
      </c>
      <c r="L49" s="60">
        <f t="shared" si="2"/>
        <v>0.12</v>
      </c>
      <c r="M49" s="60">
        <f t="shared" si="2"/>
        <v>0.12</v>
      </c>
      <c r="N49" s="60">
        <f t="shared" si="2"/>
        <v>0.12</v>
      </c>
      <c r="O49" s="60">
        <f t="shared" si="2"/>
        <v>0.12</v>
      </c>
    </row>
    <row r="50" spans="2:15" s="5" customFormat="1" ht="15.75" customHeight="1" x14ac:dyDescent="0.15">
      <c r="B50" s="16" t="s">
        <v>80</v>
      </c>
      <c r="C50" s="17">
        <v>0</v>
      </c>
      <c r="D50" s="17">
        <v>0</v>
      </c>
      <c r="E50" s="60">
        <f t="shared" ref="E50:O50" si="3">frac_maize</f>
        <v>0.05</v>
      </c>
      <c r="F50" s="60">
        <f t="shared" si="3"/>
        <v>0.05</v>
      </c>
      <c r="G50" s="60">
        <f t="shared" si="3"/>
        <v>0.05</v>
      </c>
      <c r="H50" s="60">
        <f t="shared" si="3"/>
        <v>0.05</v>
      </c>
      <c r="I50" s="60">
        <f t="shared" si="3"/>
        <v>0.05</v>
      </c>
      <c r="J50" s="60">
        <f t="shared" si="3"/>
        <v>0.05</v>
      </c>
      <c r="K50" s="60">
        <f t="shared" si="3"/>
        <v>0.05</v>
      </c>
      <c r="L50" s="60">
        <f t="shared" si="3"/>
        <v>0.05</v>
      </c>
      <c r="M50" s="60">
        <f t="shared" si="3"/>
        <v>0.05</v>
      </c>
      <c r="N50" s="60">
        <f t="shared" si="3"/>
        <v>0.05</v>
      </c>
      <c r="O50" s="60">
        <f t="shared" si="3"/>
        <v>0.05</v>
      </c>
    </row>
    <row r="51" spans="2:15" s="5" customFormat="1" ht="15.75" customHeight="1" x14ac:dyDescent="0.15">
      <c r="B51" s="16" t="s">
        <v>81</v>
      </c>
      <c r="C51" s="17">
        <v>0</v>
      </c>
      <c r="D51" s="17">
        <v>0</v>
      </c>
      <c r="E51" s="60">
        <f t="shared" ref="E51:O51" si="4">frac_rice</f>
        <v>0.8</v>
      </c>
      <c r="F51" s="60">
        <f t="shared" si="4"/>
        <v>0.8</v>
      </c>
      <c r="G51" s="60">
        <f t="shared" si="4"/>
        <v>0.8</v>
      </c>
      <c r="H51" s="60">
        <f t="shared" si="4"/>
        <v>0.8</v>
      </c>
      <c r="I51" s="60">
        <f t="shared" si="4"/>
        <v>0.8</v>
      </c>
      <c r="J51" s="60">
        <f t="shared" si="4"/>
        <v>0.8</v>
      </c>
      <c r="K51" s="60">
        <f t="shared" si="4"/>
        <v>0.8</v>
      </c>
      <c r="L51" s="60">
        <f t="shared" si="4"/>
        <v>0.8</v>
      </c>
      <c r="M51" s="60">
        <f t="shared" si="4"/>
        <v>0.8</v>
      </c>
      <c r="N51" s="60">
        <f t="shared" si="4"/>
        <v>0.8</v>
      </c>
      <c r="O51" s="60">
        <f t="shared" si="4"/>
        <v>0.8</v>
      </c>
    </row>
    <row r="52" spans="2:15" ht="15" customHeight="1" x14ac:dyDescent="0.15">
      <c r="B52" s="16" t="s">
        <v>48</v>
      </c>
      <c r="C52" s="2">
        <v>0</v>
      </c>
      <c r="D52" s="2"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</row>
    <row r="53" spans="2:15" ht="15.75" customHeight="1" x14ac:dyDescent="0.15">
      <c r="B53" s="5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36</vt:i4>
      </vt:variant>
    </vt:vector>
  </HeadingPairs>
  <TitlesOfParts>
    <vt:vector size="4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Incidence of conditions</vt:lpstr>
      <vt:lpstr>Programs target population</vt:lpstr>
      <vt:lpstr>Programs family planning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2018-05-29T02:34:30Z</dcterms:modified>
</cp:coreProperties>
</file>