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imee.altermatt\Documents\GitHub\Nutrition\inputs\fr\"/>
    </mc:Choice>
  </mc:AlternateContent>
  <xr:revisionPtr revIDLastSave="0" documentId="8_{3C44557A-FD95-42D3-8C82-B1C0D2A71D8C}" xr6:coauthVersionLast="47" xr6:coauthVersionMax="47" xr10:uidLastSave="{00000000-0000-0000-0000-000000000000}"/>
  <bookViews>
    <workbookView xWindow="1140" yWindow="1140" windowWidth="14400" windowHeight="7360" tabRatio="885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aquets IYCF" sheetId="55" r:id="rId7"/>
    <sheet name="Traitement de la MAS" sheetId="60" r:id="rId8"/>
    <sheet name="Coût et couverture du programme" sheetId="56" r:id="rId9"/>
    <sheet name="Programmes de référence" sheetId="59" state="hidden" r:id="rId10"/>
    <sheet name="Incidence of conditions" sheetId="7" state="hidden" r:id="rId11"/>
    <sheet name="Dépendances du programme" sheetId="58" r:id="rId12"/>
    <sheet name="Population cible programmes" sheetId="21" r:id="rId13"/>
    <sheet name="Cost curve options" sheetId="61" state="hidden" r:id="rId14"/>
    <sheet name="Programs family planning" sheetId="54" state="hidden" r:id="rId15"/>
    <sheet name="Programmes population touchée" sheetId="62" state="hidden" r:id="rId16"/>
    <sheet name="Programme régions à risque" sheetId="63" state="hidden" r:id="rId17"/>
    <sheet name="Population des régions à risque" sheetId="64" state="hidden" r:id="rId18"/>
    <sheet name="Rapport des cotes IYCF" sheetId="65" state="hidden" r:id="rId19"/>
    <sheet name="Risques des rés. des naissances" sheetId="66" state="hidden" r:id="rId20"/>
    <sheet name="Risques relatifs" sheetId="67" state="hidden" r:id="rId21"/>
    <sheet name="Rapports des cotes" sheetId="68" state="hidden" r:id="rId22"/>
    <sheet name="Programmes-rés. des naissances" sheetId="69" state="hidden" r:id="rId23"/>
    <sheet name="Programs anemia" sheetId="70" state="hidden" r:id="rId24"/>
    <sheet name="Programmes-amaigrissement" sheetId="71" state="hidden" r:id="rId25"/>
    <sheet name="Programmes pour les enfants" sheetId="72" state="hidden" r:id="rId26"/>
    <sheet name="Programmes pour les FE" sheetId="73" state="hidden" r:id="rId27"/>
  </sheets>
  <definedNames>
    <definedName name="_xlnm._FilterDatabase" localSheetId="19" hidden="1">'Risques des rés. des naissances'!$A$1:$F$7</definedName>
    <definedName name="abortion" localSheetId="6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6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50" l="1"/>
  <c r="A1" i="5"/>
  <c r="A1" i="4"/>
  <c r="G11" i="21"/>
  <c r="F11" i="21"/>
  <c r="E11" i="21"/>
  <c r="D11" i="21"/>
  <c r="C11" i="21"/>
  <c r="G7" i="21"/>
  <c r="F7" i="21"/>
  <c r="E7" i="21"/>
  <c r="D7" i="21"/>
  <c r="C7" i="21"/>
  <c r="C15" i="5" l="1"/>
  <c r="D15" i="5"/>
  <c r="E15" i="5"/>
  <c r="F15" i="5"/>
  <c r="G15" i="5"/>
  <c r="C13" i="51"/>
  <c r="C14" i="51"/>
  <c r="L15" i="5"/>
  <c r="C8" i="51" s="1"/>
  <c r="M15" i="5"/>
  <c r="N15" i="5"/>
  <c r="O15" i="5"/>
  <c r="H15" i="5"/>
  <c r="I15" i="5"/>
  <c r="J15" i="5"/>
  <c r="K15" i="5"/>
  <c r="C11" i="51"/>
  <c r="C10" i="51"/>
  <c r="C4" i="51"/>
  <c r="C2" i="51"/>
  <c r="E31" i="21"/>
  <c r="D5" i="65"/>
  <c r="C35" i="4"/>
  <c r="D23" i="4"/>
  <c r="E23" i="4"/>
  <c r="F23" i="4"/>
  <c r="C23" i="4"/>
  <c r="C11" i="4"/>
  <c r="M23" i="21"/>
  <c r="N23" i="21"/>
  <c r="O23" i="21"/>
  <c r="L23" i="21"/>
  <c r="E20" i="55"/>
  <c r="E19" i="55"/>
  <c r="E18" i="55"/>
  <c r="E17" i="55"/>
  <c r="E16" i="55"/>
  <c r="E13" i="55"/>
  <c r="E12" i="55"/>
  <c r="E11" i="55"/>
  <c r="E10" i="55"/>
  <c r="E9" i="55"/>
  <c r="H2" i="2"/>
  <c r="C33" i="1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18" i="2" s="1"/>
  <c r="A17" i="2"/>
  <c r="A20" i="2"/>
  <c r="A35" i="2"/>
  <c r="G16" i="2"/>
  <c r="H16" i="2"/>
  <c r="G17" i="2"/>
  <c r="H17" i="2"/>
  <c r="G18" i="2"/>
  <c r="H18" i="2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I24" i="2" s="1"/>
  <c r="H24" i="2"/>
  <c r="G25" i="2"/>
  <c r="I25" i="2" s="1"/>
  <c r="H25" i="2"/>
  <c r="G26" i="2"/>
  <c r="H26" i="2"/>
  <c r="I26" i="2" s="1"/>
  <c r="G27" i="2"/>
  <c r="H27" i="2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I32" i="2" s="1"/>
  <c r="G33" i="2"/>
  <c r="I33" i="2" s="1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I39" i="2" s="1"/>
  <c r="H39" i="2"/>
  <c r="G40" i="2"/>
  <c r="H40" i="2"/>
  <c r="I37" i="2"/>
  <c r="I20" i="2"/>
  <c r="I29" i="2"/>
  <c r="I27" i="2"/>
  <c r="I19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I3" i="2" s="1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G9" i="2"/>
  <c r="G10" i="2"/>
  <c r="I10" i="2" s="1"/>
  <c r="G11" i="2"/>
  <c r="G12" i="2"/>
  <c r="G13" i="2"/>
  <c r="G14" i="2"/>
  <c r="G15" i="2"/>
  <c r="G2" i="2"/>
  <c r="I14" i="2" l="1"/>
  <c r="I6" i="2"/>
  <c r="A26" i="2"/>
  <c r="I7" i="2"/>
  <c r="I4" i="2"/>
  <c r="I11" i="2"/>
  <c r="I36" i="2"/>
  <c r="I9" i="2"/>
  <c r="I35" i="2"/>
  <c r="I17" i="2"/>
  <c r="A39" i="2"/>
  <c r="A21" i="2"/>
  <c r="A34" i="2"/>
  <c r="I15" i="2"/>
  <c r="I16" i="2"/>
  <c r="A24" i="2"/>
  <c r="A29" i="2"/>
  <c r="A22" i="2"/>
  <c r="A19" i="2"/>
  <c r="A28" i="2"/>
  <c r="A33" i="2"/>
  <c r="A30" i="2"/>
  <c r="C7" i="51"/>
  <c r="A25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23" i="2"/>
  <c r="A32" i="2"/>
  <c r="A37" i="2"/>
  <c r="A38" i="2"/>
  <c r="A27" i="2"/>
  <c r="A36" i="2"/>
  <c r="A16" i="2"/>
  <c r="I40" i="2"/>
  <c r="I18" i="2"/>
  <c r="A31" i="2"/>
  <c r="A40" i="2"/>
  <c r="C6" i="51"/>
  <c r="I12" i="2"/>
  <c r="I2" i="2"/>
  <c r="I13" i="2"/>
  <c r="I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192BBFEF-52B0-4892-A6C4-3A60B2B70F0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8FD65767-BD52-4338-93B4-E05E91753723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0" authorId="0" shapeId="0" xr:uid="{7843245D-EFBB-4EB5-865D-154D835199FE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7" authorId="0" shapeId="0" xr:uid="{A157C98E-71F7-4EE2-BC0F-9972193227C5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<sst xmlns="http://schemas.openxmlformats.org/spreadsheetml/2006/main" count="1099" uniqueCount="266">
  <si>
    <t>Condition</t>
  </si>
  <si>
    <t>Sepsis</t>
  </si>
  <si>
    <t>IPTp</t>
  </si>
  <si>
    <t>Population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</si>
  <si>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</si>
  <si>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</si>
  <si>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</si>
  <si>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</si>
  <si>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</si>
  <si>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</si>
  <si>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</si>
  <si>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</si>
  <si>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</si>
  <si>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</si>
  <si>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</si>
  <si>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</si>
  <si>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Method</t>
  </si>
  <si>
    <t>Field</t>
  </si>
  <si>
    <t>Data</t>
  </si>
  <si>
    <t>IYCF 1</t>
  </si>
  <si>
    <t>Extension</t>
  </si>
  <si>
    <t>x</t>
  </si>
  <si>
    <t>IYCF 2</t>
  </si>
  <si>
    <t>IYCF 3</t>
  </si>
  <si>
    <t>Causes</t>
  </si>
  <si>
    <t>Normal</t>
  </si>
  <si>
    <t>Wasting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</si>
  <si>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</si>
  <si>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</si>
  <si>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</si>
  <si>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</si>
  <si>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</si>
  <si>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</si>
  <si>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</si>
  <si>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</si>
  <si>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</si>
  <si>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</si>
  <si>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</si>
  <si>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</si>
  <si>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</si>
  <si>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</si>
  <si>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</si>
  <si>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</si>
  <si>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</si>
  <si>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</si>
  <si>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</si>
  <si>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</si>
  <si>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</si>
  <si>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</si>
  <si>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</si>
  <si>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</si>
  <si>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</si>
  <si>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</si>
  <si>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</si>
  <si>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</si>
  <si>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</si>
  <si>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</si>
  <si>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</si>
  <si>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</si>
  <si>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</si>
  <si>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</si>
  <si>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</si>
  <si>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</si>
  <si>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</si>
  <si>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</si>
  <si>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</si>
  <si>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</si>
  <si>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</si>
  <si>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</si>
  <si>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</si>
  <si>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</si>
  <si>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</si>
  <si>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 : &lt;1 mois</t>
  </si>
  <si>
    <t>Nombre moyen d'épisodes par an : 1-5 mois</t>
  </si>
  <si>
    <t>Nombre moyen d'épisodes par an : 6-11 mois</t>
  </si>
  <si>
    <t>Nombre moyen d'épisodes par an : 12-23 mois</t>
  </si>
  <si>
    <t>Nombre moyen d'épisodes par an 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</si>
  <si>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</si>
  <si>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</si>
  <si>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</si>
  <si>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</si>
  <si>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</si>
  <si>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Année</t>
  </si>
  <si>
    <t>Nombre de naissances</t>
  </si>
  <si>
    <t>FAP : 15-19 ans</t>
  </si>
  <si>
    <t>FAP : 20-29 ans</t>
  </si>
  <si>
    <t>FAP : 30-39 ans</t>
  </si>
  <si>
    <t>FAP : 40-49 ans</t>
  </si>
  <si>
    <t>Total FAP</t>
  </si>
  <si>
    <t>Estimation des femmes enceintes</t>
  </si>
  <si>
    <t>FAP non enceintes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</si>
  <si>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</si>
  <si>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</si>
  <si>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</si>
  <si>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</si>
  <si>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</si>
  <si>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</si>
  <si>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</si>
  <si>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</si>
  <si>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</si>
  <si>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</si>
  <si>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</si>
  <si>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</si>
  <si>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</si>
  <si>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</si>
  <si>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</si>
  <si>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</si>
  <si>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</si>
  <si>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</si>
  <si>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</si>
  <si>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</si>
  <si>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</si>
  <si>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</si>
  <si>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</si>
  <si>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</si>
  <si>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</si>
  <si>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</si>
  <si>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</si>
  <si>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</si>
  <si>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</si>
  <si>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</si>
  <si>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</si>
  <si>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</si>
  <si>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</si>
  <si>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Etat</t>
  </si>
  <si>
    <t>Retard de croissance (taille pour l'âge)</t>
  </si>
  <si>
    <t>Normal (score HAZ &gt; -1)</t>
  </si>
  <si>
    <t>Léger (score HAZ entre -2 et -1)</t>
  </si>
  <si>
    <t>Modéré (score HAZ entre -3 et -2)</t>
  </si>
  <si>
    <t>Élevé (score HAZ entre &lt; -3)</t>
  </si>
  <si>
    <t>Amaigrissement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</si>
  <si>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</si>
  <si>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</si>
  <si>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</si>
  <si>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</si>
  <si>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</si>
  <si>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 : 15-19 ans</t>
  </si>
  <si>
    <t>FE : 20-29 ans</t>
  </si>
  <si>
    <t>FE : 30-39 ans</t>
  </si>
  <si>
    <t>FE 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</si>
  <si>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</si>
  <si>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</si>
  <si>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</si>
  <si>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</si>
  <si>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</si>
  <si>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</si>
  <si>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</si>
  <si>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</si>
  <si>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</si>
  <si>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</si>
  <si>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</si>
  <si>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</si>
  <si>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</si>
  <si>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</si>
  <si>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</si>
  <si>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</si>
  <si>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</si>
  <si>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</si>
  <si>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Paquet IYCF</t>
  </si>
  <si>
    <t>Population cible</t>
  </si>
  <si>
    <t>Établissement de santé</t>
  </si>
  <si>
    <t>Communautaire</t>
  </si>
  <si>
    <t>Médias de masse</t>
  </si>
  <si>
    <t>Tous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</si>
  <si>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</si>
  <si>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</si>
  <si>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</si>
  <si>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</si>
  <si>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</si>
  <si>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</si>
  <si>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</si>
  <si>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</si>
  <si>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</si>
  <si>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</si>
  <si>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</si>
  <si>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</si>
  <si>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</si>
  <si>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</si>
  <si>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</si>
  <si>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</si>
  <si>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</si>
  <si>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</si>
  <si>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</si>
  <si>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</si>
  <si>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</si>
  <si>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</si>
  <si>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Enrichissement du sel en fer et en iode</t>
  </si>
  <si>
    <t>Méthode mère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</si>
  <si>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</si>
  <si>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</si>
  <si>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</si>
  <si>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</si>
  <si>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</si>
  <si>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</si>
  <si>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</si>
  <si>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</si>
  <si>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</si>
  <si>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 : lavage des mains</t>
  </si>
  <si>
    <t>WASH : Élimination hygiénique</t>
  </si>
  <si>
    <t>WASH : Amélioration de l'assainissement</t>
  </si>
  <si>
    <t>WASH : Source d'eau améliorée</t>
  </si>
  <si>
    <t>WASH : Eau courante</t>
  </si>
  <si>
    <t>Zinc pour le traitement + SRO</t>
  </si>
  <si>
    <t>Supplémentation en zinc</t>
  </si>
  <si>
    <t>Linéaire (coût marginal constant) [par défaut].</t>
  </si>
  <si>
    <t>Coût à l'unité (US$)</t>
  </si>
  <si>
    <t>MAS</t>
  </si>
  <si>
    <t>MM</t>
  </si>
  <si>
    <t>Dépendance d'exclusion</t>
  </si>
  <si>
    <t>Dépendance de seuil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</si>
  <si>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</si>
  <si>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</si>
  <si>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</si>
  <si>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</si>
  <si>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</si>
  <si>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</si>
  <si>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Retard de croissance</t>
  </si>
  <si>
    <t>Prévention de l'amaigrissement</t>
  </si>
  <si>
    <t>Traitement de l'amaigrissement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</si>
  <si>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</si>
  <si>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</si>
  <si>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</si>
  <si>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</si>
  <si>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</si>
  <si>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complémetaire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</si>
  <si>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</si>
  <si>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</si>
  <si>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</si>
  <si>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 pour des conditions</t>
  </si>
  <si>
    <t>Amaigrissement (score-HAZ &lt; -2)</t>
  </si>
  <si>
    <t>MM (Score-WHZ entre -3 et -2)</t>
  </si>
  <si>
    <t>MAS (Score-WHZ &lt; -3)</t>
  </si>
  <si>
    <t>Risques relatifs des causes du décès néonatales</t>
  </si>
  <si>
    <t>Rapport des cotes pour les femmes avec l'anémie maternelle</t>
  </si>
  <si>
    <t>Risque relatif des causes du décès par la distribution de la taille-pour-l'àge (retard de croissance)</t>
  </si>
  <si>
    <t>Cause du décès</t>
  </si>
  <si>
    <t>Niveau HAZ</t>
  </si>
  <si>
    <t>Léger</t>
  </si>
  <si>
    <t>Modéré</t>
  </si>
  <si>
    <t>Elevé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</si>
  <si>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</si>
  <si>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</si>
  <si>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</si>
  <si>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</si>
  <si>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</si>
  <si>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</si>
  <si>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</si>
  <si>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</si>
  <si>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(amaigrissement)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</si>
  <si>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</si>
  <si>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</si>
  <si>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</si>
  <si>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</si>
  <si>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</si>
  <si>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</t>
  </si>
  <si>
    <t>Rapport des cotes pour allaitement maternel correct par programme</t>
  </si>
  <si>
    <t>Pour MM par épisode supplémentaire de la diarrhée</t>
  </si>
  <si>
    <t>Rapports des cotes pour espacement des naissances optimal par programme</t>
  </si>
  <si>
    <t>fraction touchée</t>
  </si>
  <si>
    <t>Risques relatifs de l'anémie en recevant l'intervention</t>
  </si>
  <si>
    <t>Rapports des cotes de l'anémie en étant couverte par l'intervention</t>
  </si>
  <si>
    <t>Rapport des cotes de la MAS en étant couvert par le programme</t>
  </si>
  <si>
    <t>Rapport des cotes de la MM en étant couvert par le programme</t>
  </si>
  <si>
    <t>Condition ciblée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</si>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</sst>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2" fontId="3" fillId="2" borderId="1" xfId="725" applyNumberFormat="1" applyFont="1" applyFill="1" applyBorder="1" applyProtection="1"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29</v>
      </c>
      <c r="B1" s="41" t="s">
        <v>17</v>
      </c>
      <c r="C1" s="41" t="s">
        <v>18</v>
      </c>
    </row>
    <row r="2" spans="1:3" ht="15.9" customHeight="1" x14ac:dyDescent="0.3">
      <c r="A2" s="12" t="s">
        <v>30</v>
      </c>
      <c r="B2" s="41"/>
      <c r="C2" s="41"/>
    </row>
    <row r="3" spans="1:3" ht="15.9" customHeight="1" x14ac:dyDescent="0.3">
      <c r="A3" s="1"/>
      <c r="B3" s="7" t="s">
        <v>31</v>
      </c>
      <c r="C3" s="63">
        <v>2017</v>
      </c>
    </row>
    <row r="4" spans="1:3" ht="15.9" customHeight="1" x14ac:dyDescent="0.3">
      <c r="A4" s="1"/>
      <c r="B4" s="9" t="s">
        <v>32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33</v>
      </c>
    </row>
    <row r="7" spans="1:3" ht="15" customHeight="1" x14ac:dyDescent="0.25">
      <c r="B7" s="16" t="s">
        <v>34</v>
      </c>
      <c r="C7" s="65"/>
    </row>
    <row r="8" spans="1:3" ht="15" customHeight="1" x14ac:dyDescent="0.25">
      <c r="B8" s="7" t="s">
        <v>35</v>
      </c>
      <c r="C8" s="66"/>
    </row>
    <row r="9" spans="1:3" ht="15" customHeight="1" x14ac:dyDescent="0.25">
      <c r="B9" s="9" t="s">
        <v>36</v>
      </c>
      <c r="C9" s="67"/>
    </row>
    <row r="10" spans="1:3" ht="15" customHeight="1" x14ac:dyDescent="0.25">
      <c r="B10" s="9" t="s">
        <v>37</v>
      </c>
      <c r="C10" s="67"/>
    </row>
    <row r="11" spans="1:3" ht="15" customHeight="1" x14ac:dyDescent="0.25">
      <c r="B11" s="7" t="s">
        <v>38</v>
      </c>
      <c r="C11" s="66"/>
    </row>
    <row r="12" spans="1:3" ht="15" customHeight="1" x14ac:dyDescent="0.25">
      <c r="B12" s="7" t="s">
        <v>39</v>
      </c>
      <c r="C12" s="66"/>
    </row>
    <row r="13" spans="1:3" ht="15" customHeight="1" x14ac:dyDescent="0.25">
      <c r="B13" s="7" t="s">
        <v>40</v>
      </c>
      <c r="C13" s="66"/>
    </row>
    <row r="14" spans="1:3" ht="15" customHeight="1" x14ac:dyDescent="0.25">
      <c r="B14" s="12"/>
    </row>
    <row r="15" spans="1:3" ht="15" customHeight="1" x14ac:dyDescent="0.3">
      <c r="A15" s="12" t="s">
        <v>41</v>
      </c>
      <c r="B15" s="19"/>
      <c r="C15" s="3"/>
    </row>
    <row r="16" spans="1:3" ht="15" customHeight="1" x14ac:dyDescent="0.25">
      <c r="B16" s="9" t="s">
        <v>42</v>
      </c>
      <c r="C16" s="67"/>
    </row>
    <row r="17" spans="1:3" ht="15" customHeight="1" x14ac:dyDescent="0.25">
      <c r="B17" s="9" t="s">
        <v>43</v>
      </c>
      <c r="C17" s="67"/>
    </row>
    <row r="18" spans="1:3" ht="15" customHeight="1" x14ac:dyDescent="0.25">
      <c r="B18" s="9" t="s">
        <v>44</v>
      </c>
      <c r="C18" s="67"/>
    </row>
    <row r="19" spans="1:3" ht="15" customHeight="1" x14ac:dyDescent="0.25">
      <c r="B19" s="9" t="s">
        <v>45</v>
      </c>
      <c r="C19" s="67"/>
    </row>
    <row r="20" spans="1:3" ht="15" customHeight="1" x14ac:dyDescent="0.25">
      <c r="B20" s="9" t="s">
        <v>46</v>
      </c>
      <c r="C20" s="68">
        <f>1-frac_rice-frac_wheat-frac_maize</f>
        <v>1</v>
      </c>
    </row>
    <row r="21" spans="1:3" ht="15" customHeight="1" x14ac:dyDescent="0.25">
      <c r="B21" s="12"/>
    </row>
    <row r="22" spans="1:3" ht="15" customHeight="1" x14ac:dyDescent="0.25">
      <c r="A22" s="12" t="s">
        <v>47</v>
      </c>
    </row>
    <row r="23" spans="1:3" ht="15" customHeight="1" x14ac:dyDescent="0.25">
      <c r="B23" s="20" t="s">
        <v>48</v>
      </c>
      <c r="C23" s="67"/>
    </row>
    <row r="24" spans="1:3" ht="15" customHeight="1" x14ac:dyDescent="0.25">
      <c r="B24" s="20" t="s">
        <v>49</v>
      </c>
      <c r="C24" s="67"/>
    </row>
    <row r="25" spans="1:3" ht="15" customHeight="1" x14ac:dyDescent="0.25">
      <c r="B25" s="20" t="s">
        <v>50</v>
      </c>
      <c r="C25" s="67"/>
    </row>
    <row r="26" spans="1:3" ht="15" customHeight="1" x14ac:dyDescent="0.25">
      <c r="B26" s="20" t="s">
        <v>51</v>
      </c>
      <c r="C26" s="67"/>
    </row>
    <row r="27" spans="1:3" ht="15" customHeight="1" x14ac:dyDescent="0.25">
      <c r="B27" s="20"/>
      <c r="C27" s="20"/>
    </row>
    <row r="28" spans="1:3" ht="15" customHeight="1" x14ac:dyDescent="0.25">
      <c r="A28" s="12" t="s">
        <v>52</v>
      </c>
      <c r="B28" s="20"/>
      <c r="C28" s="20"/>
    </row>
    <row r="29" spans="1:3" ht="14.25" customHeight="1" x14ac:dyDescent="0.25">
      <c r="B29" s="30" t="s">
        <v>53</v>
      </c>
      <c r="C29" s="69"/>
    </row>
    <row r="30" spans="1:3" ht="14.25" customHeight="1" x14ac:dyDescent="0.25">
      <c r="B30" s="30" t="s">
        <v>54</v>
      </c>
      <c r="C30" s="69"/>
    </row>
    <row r="31" spans="1:3" ht="14.25" customHeight="1" x14ac:dyDescent="0.25">
      <c r="B31" s="30" t="s">
        <v>55</v>
      </c>
      <c r="C31" s="69"/>
    </row>
    <row r="32" spans="1:3" ht="14.25" customHeight="1" x14ac:dyDescent="0.25">
      <c r="B32" s="30" t="s">
        <v>56</v>
      </c>
      <c r="C32" s="69"/>
    </row>
    <row r="33" spans="1:5" ht="13" x14ac:dyDescent="0.25">
      <c r="B33" s="32" t="s">
        <v>57</v>
      </c>
      <c r="C33" s="70">
        <f>SUM(C29:C32)</f>
        <v>0</v>
      </c>
    </row>
    <row r="34" spans="1:5" ht="15" customHeight="1" x14ac:dyDescent="0.25"/>
    <row r="35" spans="1:5" ht="15" customHeight="1" x14ac:dyDescent="0.3">
      <c r="A35" s="4" t="s">
        <v>58</v>
      </c>
    </row>
    <row r="36" spans="1:5" ht="15" customHeight="1" x14ac:dyDescent="0.25">
      <c r="A36" s="12" t="s">
        <v>59</v>
      </c>
      <c r="B36" s="7"/>
      <c r="C36" s="13"/>
    </row>
    <row r="37" spans="1:5" ht="15" customHeight="1" x14ac:dyDescent="0.25">
      <c r="B37" s="42" t="s">
        <v>60</v>
      </c>
      <c r="C37" s="71"/>
    </row>
    <row r="38" spans="1:5" ht="15" customHeight="1" x14ac:dyDescent="0.25">
      <c r="B38" s="16" t="s">
        <v>61</v>
      </c>
      <c r="C38" s="71"/>
      <c r="D38" s="17"/>
      <c r="E38" s="18"/>
    </row>
    <row r="39" spans="1:5" ht="15" customHeight="1" x14ac:dyDescent="0.25">
      <c r="B39" s="16" t="s">
        <v>62</v>
      </c>
      <c r="C39" s="71"/>
      <c r="D39" s="17"/>
      <c r="E39" s="17"/>
    </row>
    <row r="40" spans="1:5" ht="15" customHeight="1" x14ac:dyDescent="0.25">
      <c r="B40" s="16" t="s">
        <v>63</v>
      </c>
      <c r="C40" s="71"/>
    </row>
    <row r="41" spans="1:5" ht="15" customHeight="1" x14ac:dyDescent="0.25">
      <c r="B41" s="16" t="s">
        <v>64</v>
      </c>
      <c r="C41" s="67"/>
    </row>
    <row r="42" spans="1:5" ht="15" customHeight="1" x14ac:dyDescent="0.25">
      <c r="B42" s="42" t="s">
        <v>65</v>
      </c>
      <c r="C42" s="71"/>
    </row>
    <row r="43" spans="1:5" ht="15.75" customHeight="1" x14ac:dyDescent="0.25">
      <c r="D43" s="17"/>
    </row>
    <row r="44" spans="1:5" ht="15.75" customHeight="1" x14ac:dyDescent="0.25">
      <c r="A44" s="12" t="s">
        <v>66</v>
      </c>
      <c r="D44" s="17"/>
    </row>
    <row r="45" spans="1:5" ht="15.75" customHeight="1" x14ac:dyDescent="0.25">
      <c r="B45" s="16" t="s">
        <v>67</v>
      </c>
      <c r="C45" s="67"/>
      <c r="D45" s="17"/>
    </row>
    <row r="46" spans="1:5" ht="15.75" customHeight="1" x14ac:dyDescent="0.25">
      <c r="B46" s="16" t="s">
        <v>68</v>
      </c>
      <c r="C46" s="67"/>
      <c r="D46" s="17"/>
    </row>
    <row r="47" spans="1:5" ht="15.75" customHeight="1" x14ac:dyDescent="0.25">
      <c r="B47" s="16" t="s">
        <v>69</v>
      </c>
      <c r="C47" s="67"/>
      <c r="D47" s="17"/>
      <c r="E47" s="18"/>
    </row>
    <row r="48" spans="1:5" ht="15" customHeight="1" x14ac:dyDescent="0.25">
      <c r="B48" s="16" t="s">
        <v>70</v>
      </c>
      <c r="C48" s="68">
        <f>1-term_SGA-preterm_AGA-preterm_SGA</f>
        <v>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71</v>
      </c>
      <c r="D50" s="17"/>
    </row>
    <row r="51" spans="1:4" ht="15.75" customHeight="1" x14ac:dyDescent="0.25">
      <c r="B51" s="16" t="s">
        <v>72</v>
      </c>
      <c r="C51" s="72"/>
      <c r="D51" s="17"/>
    </row>
    <row r="52" spans="1:4" ht="15" customHeight="1" x14ac:dyDescent="0.25">
      <c r="B52" s="16" t="s">
        <v>73</v>
      </c>
      <c r="C52" s="72"/>
    </row>
    <row r="53" spans="1:4" ht="15.75" customHeight="1" x14ac:dyDescent="0.25">
      <c r="B53" s="16" t="s">
        <v>74</v>
      </c>
      <c r="C53" s="72"/>
    </row>
    <row r="54" spans="1:4" ht="15.75" customHeight="1" x14ac:dyDescent="0.25">
      <c r="B54" s="16" t="s">
        <v>75</v>
      </c>
      <c r="C54" s="72"/>
    </row>
    <row r="55" spans="1:4" ht="15.75" customHeight="1" x14ac:dyDescent="0.25">
      <c r="B55" s="16" t="s">
        <v>76</v>
      </c>
      <c r="C55" s="72"/>
    </row>
    <row r="57" spans="1:4" ht="15.75" customHeight="1" x14ac:dyDescent="0.25">
      <c r="A57" s="12" t="s">
        <v>77</v>
      </c>
    </row>
    <row r="58" spans="1:4" ht="15.75" customHeight="1" x14ac:dyDescent="0.25">
      <c r="B58" s="7" t="s">
        <v>78</v>
      </c>
      <c r="C58" s="66"/>
    </row>
    <row r="59" spans="1:4" ht="15.75" customHeight="1" x14ac:dyDescent="0.25">
      <c r="B59" s="16" t="s">
        <v>79</v>
      </c>
      <c r="C59" s="66"/>
    </row>
    <row r="60" spans="1:4" ht="15.75" customHeight="1" x14ac:dyDescent="0.25">
      <c r="B60" s="16" t="s">
        <v>80</v>
      </c>
      <c r="C60" s="66"/>
    </row>
    <row r="61" spans="1:4" ht="15.75" customHeight="1" x14ac:dyDescent="0.25">
      <c r="B61" s="16" t="s">
        <v>81</v>
      </c>
      <c r="C61" s="66"/>
    </row>
    <row r="63" spans="1:4" ht="15.75" customHeight="1" x14ac:dyDescent="0.3">
      <c r="A63" s="4"/>
    </row>
  </sheetData>
  <sheetProtection algorithmName="SHA-512" hashValue="hW3KbCM5PvFQfONGnulFIP8wb1yRl+gw+90BGTYTloomjjmcTzPrshk9bp4h8x1psFXPqxZ3gT2yz6BMWXHKIA==" saltValue="gttPipUIFH+L22nmfjpCJ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164</v>
      </c>
    </row>
    <row r="2" spans="1:1" x14ac:dyDescent="0.25">
      <c r="A2" s="48" t="s">
        <v>176</v>
      </c>
    </row>
    <row r="3" spans="1:1" x14ac:dyDescent="0.25">
      <c r="A3" s="48" t="s">
        <v>2</v>
      </c>
    </row>
    <row r="4" spans="1:1" x14ac:dyDescent="0.25">
      <c r="A4" s="48" t="s">
        <v>189</v>
      </c>
    </row>
    <row r="5" spans="1:1" x14ac:dyDescent="0.25">
      <c r="A5" s="48" t="s">
        <v>197</v>
      </c>
    </row>
    <row r="6" spans="1:1" x14ac:dyDescent="0.25">
      <c r="A6" s="48" t="s">
        <v>198</v>
      </c>
    </row>
    <row r="7" spans="1:1" x14ac:dyDescent="0.25">
      <c r="A7" s="48" t="s">
        <v>199</v>
      </c>
    </row>
    <row r="8" spans="1:1" x14ac:dyDescent="0.25">
      <c r="A8" s="48" t="s">
        <v>200</v>
      </c>
    </row>
    <row r="9" spans="1:1" x14ac:dyDescent="0.25">
      <c r="A9" s="48" t="s">
        <v>201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sheetProtection algorithmName="SHA-512" hashValue="EoUQ8fTCM9dpe3pg57kTKTvjRw7qfoXtHA5qAoRWBTQ9G0oUYSvPOg4RxYp1NkmSV60+2fJEt27VkTpUs2n9jw==" saltValue="lTZa6YnuB0FZzWbXnwvpV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123</v>
      </c>
      <c r="C1" t="s">
        <v>110</v>
      </c>
      <c r="D1" t="s">
        <v>111</v>
      </c>
      <c r="E1" t="s">
        <v>112</v>
      </c>
      <c r="F1" t="s">
        <v>113</v>
      </c>
    </row>
    <row r="2" spans="1:6" ht="15.75" customHeight="1" x14ac:dyDescent="0.25">
      <c r="A2" s="3" t="s">
        <v>101</v>
      </c>
      <c r="B2" s="26">
        <f>'Donnees pop de l''annee de ref'!C51</f>
        <v>0</v>
      </c>
      <c r="C2" s="26">
        <f>'Donnees pop de l''annee de ref'!C52</f>
        <v>0</v>
      </c>
      <c r="D2" s="26">
        <f>'Donnees pop de l''annee de ref'!C53</f>
        <v>0</v>
      </c>
      <c r="E2" s="26">
        <f>'Donnees pop de l''annee de ref'!C54</f>
        <v>0</v>
      </c>
      <c r="F2" s="26">
        <f>'Donnees pop de l''annee de ref'!C55</f>
        <v>0</v>
      </c>
    </row>
    <row r="3" spans="1:6" ht="15.75" customHeight="1" x14ac:dyDescent="0.25">
      <c r="A3" s="3" t="s">
        <v>207</v>
      </c>
      <c r="B3" s="26">
        <f>frac_mam_1month * 2.6</f>
        <v>0</v>
      </c>
      <c r="C3" s="26">
        <f>frac_mam_1_5months * 2.6</f>
        <v>0</v>
      </c>
      <c r="D3" s="26">
        <f>frac_mam_6_11months * 2.6</f>
        <v>0</v>
      </c>
      <c r="E3" s="26">
        <f>frac_mam_12_23months * 2.6</f>
        <v>0</v>
      </c>
      <c r="F3" s="26">
        <f>frac_mam_24_59months * 2.6</f>
        <v>0</v>
      </c>
    </row>
    <row r="4" spans="1:6" ht="15.75" customHeight="1" x14ac:dyDescent="0.25">
      <c r="A4" s="3" t="s">
        <v>206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0</v>
      </c>
      <c r="F4" s="26">
        <f>frac_sam_24_59months * 2.6</f>
        <v>0</v>
      </c>
    </row>
  </sheetData>
  <sheetProtection algorithmName="SHA-512" hashValue="9YAm8YtfbRVAcJz0Cjs1IjotuIDk6pYn+8Rn4OeRkBCPcI81hL1/XWmYMhr3YCjkjD1Uy9QWtxNy1vugj9/4rg==" saltValue="NQznw3a7dm61DZRrPIXwY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164</v>
      </c>
      <c r="B1" s="40" t="s">
        <v>208</v>
      </c>
      <c r="C1" s="40" t="s">
        <v>209</v>
      </c>
    </row>
    <row r="2" spans="1:3" x14ac:dyDescent="0.25">
      <c r="A2" s="83" t="s">
        <v>184</v>
      </c>
      <c r="B2" s="80" t="s">
        <v>193</v>
      </c>
      <c r="C2" s="80"/>
    </row>
    <row r="3" spans="1:3" x14ac:dyDescent="0.25">
      <c r="A3" s="83" t="s">
        <v>185</v>
      </c>
      <c r="B3" s="80" t="s">
        <v>193</v>
      </c>
      <c r="C3" s="80"/>
    </row>
    <row r="4" spans="1:3" x14ac:dyDescent="0.25">
      <c r="A4" s="84" t="s">
        <v>195</v>
      </c>
      <c r="B4" s="80" t="s">
        <v>188</v>
      </c>
      <c r="C4" s="80"/>
    </row>
    <row r="5" spans="1:3" x14ac:dyDescent="0.25">
      <c r="A5" s="84" t="s">
        <v>192</v>
      </c>
      <c r="B5" s="80" t="s">
        <v>188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CRlF7D7OwLDyBo6VdTey/5uu3agiGnCQ13lreYTfcYIOboODimBi57ecohdgpgkgo8kt8B20scLtlQlOYJDO0g==" saltValue="n6tQ5UbxvEAY2ztQ+iAsn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H11" sqref="H11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164</v>
      </c>
      <c r="C1" s="4" t="s">
        <v>123</v>
      </c>
      <c r="D1" s="4" t="s">
        <v>110</v>
      </c>
      <c r="E1" s="4" t="s">
        <v>111</v>
      </c>
      <c r="F1" s="4" t="s">
        <v>112</v>
      </c>
      <c r="G1" s="4" t="s">
        <v>113</v>
      </c>
      <c r="H1" s="4" t="s">
        <v>136</v>
      </c>
      <c r="I1" s="4" t="s">
        <v>137</v>
      </c>
      <c r="J1" s="4" t="s">
        <v>138</v>
      </c>
      <c r="K1" s="4" t="s">
        <v>139</v>
      </c>
      <c r="L1" s="4" t="s">
        <v>84</v>
      </c>
      <c r="M1" s="4" t="s">
        <v>85</v>
      </c>
      <c r="N1" s="4" t="s">
        <v>86</v>
      </c>
      <c r="O1" s="4" t="s">
        <v>87</v>
      </c>
    </row>
    <row r="2" spans="1:15" ht="15.75" customHeight="1" x14ac:dyDescent="0.3">
      <c r="A2" s="4" t="s">
        <v>100</v>
      </c>
      <c r="B2" s="11" t="s">
        <v>174</v>
      </c>
      <c r="C2" s="87">
        <v>0</v>
      </c>
      <c r="D2" s="87">
        <f>food_insecure</f>
        <v>0</v>
      </c>
      <c r="E2" s="87">
        <f>food_insecure</f>
        <v>0</v>
      </c>
      <c r="F2" s="87">
        <f>food_insecure</f>
        <v>0</v>
      </c>
      <c r="G2" s="87">
        <f>food_insecure</f>
        <v>0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175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187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188</v>
      </c>
      <c r="C5" s="87">
        <v>0</v>
      </c>
      <c r="D5" s="87">
        <v>0</v>
      </c>
      <c r="E5" s="87">
        <f>food_insecure</f>
        <v>0</v>
      </c>
      <c r="F5" s="87">
        <f>food_insecure</f>
        <v>0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192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194</v>
      </c>
      <c r="C7" s="87">
        <f>diarrhoea_1mo</f>
        <v>0</v>
      </c>
      <c r="D7" s="87">
        <f>diarrhoea_1_5mo</f>
        <v>0</v>
      </c>
      <c r="E7" s="87">
        <f>diarrhoea_6_11mo</f>
        <v>0</v>
      </c>
      <c r="F7" s="87">
        <f>diarrhoea_12_23mo</f>
        <v>0</v>
      </c>
      <c r="G7" s="87">
        <f>diarrhoea_24_59mo</f>
        <v>0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195</v>
      </c>
      <c r="C8" s="87">
        <v>0</v>
      </c>
      <c r="D8" s="87">
        <v>0</v>
      </c>
      <c r="E8" s="87">
        <f>food_insecure</f>
        <v>0</v>
      </c>
      <c r="F8" s="87">
        <f>food_insecure</f>
        <v>0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165</v>
      </c>
      <c r="C9" s="87">
        <v>0</v>
      </c>
      <c r="D9" s="87">
        <f>IF(ISBLANK(comm_deliv), frac_children_health_facility,1)</f>
        <v>0</v>
      </c>
      <c r="E9" s="87">
        <f>IF(ISBLANK(comm_deliv), frac_children_health_facility,1)</f>
        <v>0</v>
      </c>
      <c r="F9" s="87">
        <f>IF(ISBLANK(comm_deliv), frac_children_health_facility,1)</f>
        <v>0</v>
      </c>
      <c r="G9" s="87">
        <f>IF(ISBLANK(comm_deliv), frac_children_health_facility,1)</f>
        <v>0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196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202</v>
      </c>
      <c r="C11" s="87">
        <f>diarrhoea_1mo</f>
        <v>0</v>
      </c>
      <c r="D11" s="87">
        <f>diarrhoea_1_5mo</f>
        <v>0</v>
      </c>
      <c r="E11" s="87">
        <f>diarrhoea_6_11mo</f>
        <v>0</v>
      </c>
      <c r="F11" s="87">
        <f>diarrhoea_12_23mo</f>
        <v>0</v>
      </c>
      <c r="G11" s="87">
        <f>diarrhoea_24_59mo</f>
        <v>0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203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114</v>
      </c>
      <c r="B14" s="33" t="s">
        <v>172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</v>
      </c>
      <c r="I14" s="87">
        <f>food_insecure</f>
        <v>0</v>
      </c>
      <c r="J14" s="87">
        <f>food_insecure</f>
        <v>0</v>
      </c>
      <c r="K14" s="87">
        <f>food_insecure</f>
        <v>0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173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184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185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</v>
      </c>
      <c r="I17" s="87">
        <f>frac_PW_health_facility</f>
        <v>0</v>
      </c>
      <c r="J17" s="87">
        <f>frac_PW_health_facility</f>
        <v>0</v>
      </c>
      <c r="K17" s="87">
        <f>frac_PW_health_facility</f>
        <v>0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2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0</v>
      </c>
      <c r="I18" s="87">
        <f>frac_malaria_risk</f>
        <v>0</v>
      </c>
      <c r="J18" s="87">
        <f>frac_malaria_risk</f>
        <v>0</v>
      </c>
      <c r="K18" s="87">
        <f>frac_malaria_risk</f>
        <v>0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190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191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193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90</v>
      </c>
      <c r="B23" s="59" t="s">
        <v>176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</v>
      </c>
      <c r="M23" s="87">
        <f>famplan_unmet_need</f>
        <v>0</v>
      </c>
      <c r="N23" s="87">
        <f>famplan_unmet_need</f>
        <v>0</v>
      </c>
      <c r="O23" s="87">
        <f>famplan_unmet_need</f>
        <v>0</v>
      </c>
    </row>
    <row r="24" spans="1:15" ht="15.75" customHeight="1" x14ac:dyDescent="0.25">
      <c r="B24" s="59" t="s">
        <v>180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0.49</v>
      </c>
      <c r="M24" s="87">
        <f>(1-food_insecure)*(0.49)+food_insecure*(0.7)</f>
        <v>0.49</v>
      </c>
      <c r="N24" s="87">
        <f>(1-food_insecure)*(0.49)+food_insecure*(0.7)</f>
        <v>0.49</v>
      </c>
      <c r="O24" s="87">
        <f>(1-food_insecure)*(0.49)+food_insecure*(0.7)</f>
        <v>0.49</v>
      </c>
    </row>
    <row r="25" spans="1:15" ht="15.75" customHeight="1" x14ac:dyDescent="0.25">
      <c r="B25" s="59" t="s">
        <v>181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0.21</v>
      </c>
      <c r="M25" s="87">
        <f>(1-food_insecure)*(0.21)+food_insecure*(0.3)</f>
        <v>0.21</v>
      </c>
      <c r="N25" s="87">
        <f>(1-food_insecure)*(0.21)+food_insecure*(0.3)</f>
        <v>0.21</v>
      </c>
      <c r="O25" s="87">
        <f>(1-food_insecure)*(0.21)+food_insecure*(0.3)</f>
        <v>0.21</v>
      </c>
    </row>
    <row r="26" spans="1:15" ht="15.75" customHeight="1" x14ac:dyDescent="0.25">
      <c r="B26" s="59" t="s">
        <v>182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0.3</v>
      </c>
      <c r="M26" s="87">
        <f>(1-food_insecure)*(0.3)</f>
        <v>0.3</v>
      </c>
      <c r="N26" s="87">
        <f>(1-food_insecure)*(0.3)</f>
        <v>0.3</v>
      </c>
      <c r="O26" s="87">
        <f>(1-food_insecure)*(0.3)</f>
        <v>0.3</v>
      </c>
    </row>
    <row r="27" spans="1:15" ht="15.75" customHeight="1" x14ac:dyDescent="0.25">
      <c r="B27" s="59" t="s">
        <v>183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210</v>
      </c>
      <c r="B29" s="11" t="s">
        <v>177</v>
      </c>
      <c r="C29" s="87">
        <v>0</v>
      </c>
      <c r="D29" s="87">
        <v>0</v>
      </c>
      <c r="E29" s="87">
        <f t="shared" ref="E29:O29" si="0">frac_maize</f>
        <v>0</v>
      </c>
      <c r="F29" s="87">
        <f t="shared" si="0"/>
        <v>0</v>
      </c>
      <c r="G29" s="87">
        <f t="shared" si="0"/>
        <v>0</v>
      </c>
      <c r="H29" s="87">
        <f t="shared" si="0"/>
        <v>0</v>
      </c>
      <c r="I29" s="87">
        <f t="shared" si="0"/>
        <v>0</v>
      </c>
      <c r="J29" s="87">
        <f t="shared" si="0"/>
        <v>0</v>
      </c>
      <c r="K29" s="87">
        <f t="shared" si="0"/>
        <v>0</v>
      </c>
      <c r="L29" s="87">
        <f t="shared" si="0"/>
        <v>0</v>
      </c>
      <c r="M29" s="87">
        <f t="shared" si="0"/>
        <v>0</v>
      </c>
      <c r="N29" s="87">
        <f t="shared" si="0"/>
        <v>0</v>
      </c>
      <c r="O29" s="87">
        <f t="shared" si="0"/>
        <v>0</v>
      </c>
    </row>
    <row r="30" spans="1:15" ht="15.75" customHeight="1" x14ac:dyDescent="0.25">
      <c r="B30" s="11" t="s">
        <v>178</v>
      </c>
      <c r="C30" s="87">
        <v>0</v>
      </c>
      <c r="D30" s="87">
        <v>0</v>
      </c>
      <c r="E30" s="87">
        <f t="shared" ref="E30:O30" si="1">frac_rice</f>
        <v>0</v>
      </c>
      <c r="F30" s="87">
        <f t="shared" si="1"/>
        <v>0</v>
      </c>
      <c r="G30" s="87">
        <f t="shared" si="1"/>
        <v>0</v>
      </c>
      <c r="H30" s="87">
        <f t="shared" si="1"/>
        <v>0</v>
      </c>
      <c r="I30" s="87">
        <f t="shared" si="1"/>
        <v>0</v>
      </c>
      <c r="J30" s="87">
        <f t="shared" si="1"/>
        <v>0</v>
      </c>
      <c r="K30" s="87">
        <f t="shared" si="1"/>
        <v>0</v>
      </c>
      <c r="L30" s="87">
        <f t="shared" si="1"/>
        <v>0</v>
      </c>
      <c r="M30" s="87">
        <f t="shared" si="1"/>
        <v>0</v>
      </c>
      <c r="N30" s="87">
        <f t="shared" si="1"/>
        <v>0</v>
      </c>
      <c r="O30" s="87">
        <f t="shared" si="1"/>
        <v>0</v>
      </c>
    </row>
    <row r="31" spans="1:15" ht="15.75" customHeight="1" x14ac:dyDescent="0.25">
      <c r="B31" s="11" t="s">
        <v>179</v>
      </c>
      <c r="C31" s="87">
        <v>0</v>
      </c>
      <c r="D31" s="87">
        <v>0</v>
      </c>
      <c r="E31" s="87">
        <f>frac_wheat</f>
        <v>0</v>
      </c>
      <c r="F31" s="87">
        <f t="shared" ref="F31:O31" si="2">frac_wheat</f>
        <v>0</v>
      </c>
      <c r="G31" s="87">
        <f t="shared" si="2"/>
        <v>0</v>
      </c>
      <c r="H31" s="87">
        <f t="shared" si="2"/>
        <v>0</v>
      </c>
      <c r="I31" s="87">
        <f t="shared" si="2"/>
        <v>0</v>
      </c>
      <c r="J31" s="87">
        <f t="shared" si="2"/>
        <v>0</v>
      </c>
      <c r="K31" s="87">
        <f t="shared" si="2"/>
        <v>0</v>
      </c>
      <c r="L31" s="87">
        <f t="shared" si="2"/>
        <v>0</v>
      </c>
      <c r="M31" s="87">
        <f t="shared" si="2"/>
        <v>0</v>
      </c>
      <c r="N31" s="87">
        <f t="shared" si="2"/>
        <v>0</v>
      </c>
      <c r="O31" s="87">
        <f t="shared" si="2"/>
        <v>0</v>
      </c>
    </row>
    <row r="32" spans="1:15" ht="15.75" customHeight="1" x14ac:dyDescent="0.25">
      <c r="B32" s="11" t="s">
        <v>186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189</v>
      </c>
      <c r="C33" s="87">
        <f t="shared" ref="C33:O33" si="3">frac_malaria_risk</f>
        <v>0</v>
      </c>
      <c r="D33" s="87">
        <f t="shared" si="3"/>
        <v>0</v>
      </c>
      <c r="E33" s="87">
        <f t="shared" si="3"/>
        <v>0</v>
      </c>
      <c r="F33" s="87">
        <f t="shared" si="3"/>
        <v>0</v>
      </c>
      <c r="G33" s="87">
        <f t="shared" si="3"/>
        <v>0</v>
      </c>
      <c r="H33" s="87">
        <f t="shared" si="3"/>
        <v>0</v>
      </c>
      <c r="I33" s="87">
        <f t="shared" si="3"/>
        <v>0</v>
      </c>
      <c r="J33" s="87">
        <f t="shared" si="3"/>
        <v>0</v>
      </c>
      <c r="K33" s="87">
        <f t="shared" si="3"/>
        <v>0</v>
      </c>
      <c r="L33" s="87">
        <f t="shared" si="3"/>
        <v>0</v>
      </c>
      <c r="M33" s="87">
        <f t="shared" si="3"/>
        <v>0</v>
      </c>
      <c r="N33" s="87">
        <f t="shared" si="3"/>
        <v>0</v>
      </c>
      <c r="O33" s="87">
        <f t="shared" si="3"/>
        <v>0</v>
      </c>
    </row>
    <row r="34" spans="1:15" ht="15.75" customHeight="1" x14ac:dyDescent="0.25">
      <c r="B34" s="33" t="s">
        <v>197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198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199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200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201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urI5yX/kEjjwIkk2R7kfTa2uUOBPm2QtCJmaP9DRxh5XJQOs61A/h1qihPy35p3ZbjdZ/i82rnA+wZhWpFElvQ==" saltValue="FZmhcICndCPVRtjp49txqg==" spinCount="100000" sheet="1" objects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204</v>
      </c>
    </row>
    <row r="2" spans="1:1" x14ac:dyDescent="0.25">
      <c r="A2" s="12" t="s">
        <v>212</v>
      </c>
    </row>
    <row r="3" spans="1:1" x14ac:dyDescent="0.25">
      <c r="A3" s="12" t="s">
        <v>213</v>
      </c>
    </row>
    <row r="4" spans="1:1" x14ac:dyDescent="0.25">
      <c r="A4" s="12" t="s">
        <v>214</v>
      </c>
    </row>
  </sheetData>
  <sheetProtection algorithmName="SHA-512" hashValue="IjYC5CYDBCbp7YoFM9H2/xxCyVFO1LQWYbJQFk5HMzPv+74iZcgknnChHdx5512bQMhEVIdViU8YE27HrFOEqw==" saltValue="SvXcA4m+7DuunxDGbS5+5Q==" spinCount="100000" sheet="1" objects="1" scenario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</v>
      </c>
      <c r="B1" s="40" t="s">
        <v>215</v>
      </c>
      <c r="C1" s="40" t="s">
        <v>15</v>
      </c>
      <c r="D1" s="40" t="s">
        <v>14</v>
      </c>
      <c r="E1" s="40" t="s">
        <v>13</v>
      </c>
    </row>
    <row r="2" spans="1:5" ht="14" x14ac:dyDescent="0.3">
      <c r="A2" s="39" t="s">
        <v>12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11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10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9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8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7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6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5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4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sheetProtection algorithmName="SHA-512" hashValue="QkGkOXnp+DN4aK4ohl3EddFHmlH0rMraE+Zbk7iM4NKNyflI287gV/mb+pDNw1zGU3QDSEv9XV0fO/vnM+LkoA==" saltValue="GePhdmcrtdOD+qdfWOO7w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211</v>
      </c>
      <c r="B1" s="89" t="s">
        <v>164</v>
      </c>
      <c r="C1" s="56" t="s">
        <v>123</v>
      </c>
      <c r="D1" s="56" t="s">
        <v>110</v>
      </c>
      <c r="E1" s="56" t="s">
        <v>111</v>
      </c>
      <c r="F1" s="56" t="s">
        <v>112</v>
      </c>
      <c r="G1" s="56" t="s">
        <v>113</v>
      </c>
      <c r="H1" s="56" t="s">
        <v>136</v>
      </c>
      <c r="I1" s="56" t="s">
        <v>137</v>
      </c>
      <c r="J1" s="56" t="s">
        <v>138</v>
      </c>
      <c r="K1" s="56" t="s">
        <v>139</v>
      </c>
      <c r="L1" s="56" t="s">
        <v>84</v>
      </c>
      <c r="M1" s="56" t="s">
        <v>85</v>
      </c>
      <c r="N1" s="56" t="s">
        <v>86</v>
      </c>
      <c r="O1" s="56" t="s">
        <v>87</v>
      </c>
    </row>
    <row r="2" spans="1:15" ht="15.75" customHeight="1" x14ac:dyDescent="0.35">
      <c r="A2" s="56" t="s">
        <v>100</v>
      </c>
      <c r="B2" s="52" t="s">
        <v>174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175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19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22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23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187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188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192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194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195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165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196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202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203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114</v>
      </c>
      <c r="B17" s="52" t="s">
        <v>172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173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184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185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2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190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191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193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90</v>
      </c>
      <c r="B26" s="52" t="s">
        <v>176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180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181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182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183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210</v>
      </c>
      <c r="B32" s="52" t="s">
        <v>177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178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179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186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189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197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198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199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200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201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033xgxFkUafeJVXMJEFQ6rAM1lAWhR2GcIfNLrnOhUkW3dJy2YV7wDoNs0w3RUWB6cUUkGzuqfwo6j+otWoIkA==" saltValue="ymevM0/mqv7cDRznW7hmSQ==" spinCount="100000" sheet="1" objects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164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52" t="s">
        <v>172</v>
      </c>
      <c r="B2" s="133"/>
      <c r="C2" s="133"/>
      <c r="D2" s="133"/>
      <c r="E2" s="133"/>
      <c r="F2" s="133"/>
      <c r="G2" s="133"/>
      <c r="H2" s="133"/>
      <c r="I2" s="133" t="s">
        <v>21</v>
      </c>
      <c r="J2" s="133"/>
      <c r="K2" s="133"/>
    </row>
    <row r="3" spans="1:11" x14ac:dyDescent="0.25">
      <c r="A3" s="52" t="s">
        <v>173</v>
      </c>
      <c r="B3" s="133"/>
      <c r="C3" s="133"/>
      <c r="D3" s="133"/>
      <c r="E3" s="133"/>
      <c r="F3" s="133"/>
      <c r="G3" s="133"/>
      <c r="H3" s="133" t="s">
        <v>21</v>
      </c>
      <c r="I3" s="133"/>
      <c r="J3" s="133"/>
      <c r="K3" s="133"/>
    </row>
    <row r="4" spans="1:11" x14ac:dyDescent="0.25">
      <c r="A4" s="52" t="s">
        <v>174</v>
      </c>
      <c r="B4" s="133"/>
      <c r="C4" s="133"/>
      <c r="D4" s="133" t="s">
        <v>21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175</v>
      </c>
      <c r="B5" s="133"/>
      <c r="C5" s="133" t="s">
        <v>21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176</v>
      </c>
      <c r="B6" s="133"/>
      <c r="C6" s="133"/>
      <c r="D6" s="133"/>
      <c r="E6" s="133"/>
      <c r="F6" s="133"/>
      <c r="G6" s="133"/>
      <c r="H6" s="133"/>
      <c r="I6" s="133"/>
      <c r="J6" s="133" t="s">
        <v>21</v>
      </c>
      <c r="K6" s="133" t="s">
        <v>21</v>
      </c>
    </row>
    <row r="7" spans="1:11" x14ac:dyDescent="0.25">
      <c r="A7" s="52" t="s">
        <v>177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/>
      <c r="J7" s="133"/>
      <c r="K7" s="133"/>
    </row>
    <row r="8" spans="1:11" x14ac:dyDescent="0.25">
      <c r="A8" s="52" t="s">
        <v>178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/>
      <c r="J8" s="133"/>
      <c r="K8" s="133"/>
    </row>
    <row r="9" spans="1:11" x14ac:dyDescent="0.25">
      <c r="A9" s="52" t="s">
        <v>179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/>
      <c r="J9" s="133"/>
      <c r="K9" s="133"/>
    </row>
    <row r="10" spans="1:11" x14ac:dyDescent="0.25">
      <c r="A10" s="59" t="s">
        <v>180</v>
      </c>
      <c r="B10" s="133"/>
      <c r="C10" s="133" t="s">
        <v>21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181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182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183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184</v>
      </c>
      <c r="B14" s="133"/>
      <c r="C14" s="133" t="s">
        <v>21</v>
      </c>
      <c r="D14" s="133"/>
      <c r="E14" s="133"/>
      <c r="F14" s="133"/>
      <c r="G14" s="133"/>
      <c r="H14" s="133"/>
      <c r="I14" s="133" t="s">
        <v>21</v>
      </c>
      <c r="J14" s="133"/>
      <c r="K14" s="133"/>
    </row>
    <row r="15" spans="1:11" x14ac:dyDescent="0.25">
      <c r="A15" s="90" t="s">
        <v>185</v>
      </c>
      <c r="B15" s="133"/>
      <c r="C15" s="133" t="s">
        <v>21</v>
      </c>
      <c r="D15" s="133"/>
      <c r="E15" s="133"/>
      <c r="F15" s="133"/>
      <c r="G15" s="133"/>
      <c r="H15" s="133"/>
      <c r="I15" s="133" t="s">
        <v>21</v>
      </c>
      <c r="J15" s="133"/>
      <c r="K15" s="133"/>
    </row>
    <row r="16" spans="1:11" x14ac:dyDescent="0.25">
      <c r="A16" s="52" t="s">
        <v>2</v>
      </c>
      <c r="B16" s="133"/>
      <c r="C16" s="133" t="s">
        <v>21</v>
      </c>
      <c r="D16" s="133"/>
      <c r="E16" s="133"/>
      <c r="F16" s="133"/>
      <c r="G16" s="133"/>
      <c r="H16" s="133" t="s">
        <v>21</v>
      </c>
      <c r="I16" s="133" t="s">
        <v>21</v>
      </c>
      <c r="J16" s="133"/>
      <c r="K16" s="133"/>
    </row>
    <row r="17" spans="1:11" x14ac:dyDescent="0.25">
      <c r="A17" s="52" t="s">
        <v>186</v>
      </c>
      <c r="B17" s="133"/>
      <c r="C17" s="133" t="s">
        <v>21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19</v>
      </c>
      <c r="B18" s="133" t="s">
        <v>21</v>
      </c>
      <c r="C18" s="133"/>
      <c r="D18" s="133"/>
      <c r="E18" s="133"/>
      <c r="F18" s="133" t="s">
        <v>21</v>
      </c>
      <c r="G18" s="133"/>
      <c r="H18" s="133"/>
      <c r="I18" s="133"/>
      <c r="J18" s="133"/>
      <c r="K18" s="133"/>
    </row>
    <row r="19" spans="1:11" x14ac:dyDescent="0.25">
      <c r="A19" s="52" t="s">
        <v>22</v>
      </c>
      <c r="B19" s="133" t="s">
        <v>21</v>
      </c>
      <c r="C19" s="133"/>
      <c r="D19" s="133"/>
      <c r="E19" s="133"/>
      <c r="F19" s="133" t="s">
        <v>21</v>
      </c>
      <c r="G19" s="133"/>
      <c r="H19" s="133"/>
      <c r="I19" s="133"/>
      <c r="J19" s="133"/>
      <c r="K19" s="133"/>
    </row>
    <row r="20" spans="1:11" x14ac:dyDescent="0.25">
      <c r="A20" s="52" t="s">
        <v>23</v>
      </c>
      <c r="B20" s="133" t="s">
        <v>21</v>
      </c>
      <c r="C20" s="133"/>
      <c r="D20" s="133"/>
      <c r="E20" s="133"/>
      <c r="F20" s="133" t="s">
        <v>21</v>
      </c>
      <c r="G20" s="133"/>
      <c r="H20" s="133"/>
      <c r="I20" s="133"/>
      <c r="J20" s="133"/>
      <c r="K20" s="133"/>
    </row>
    <row r="21" spans="1:11" x14ac:dyDescent="0.25">
      <c r="A21" s="52" t="s">
        <v>187</v>
      </c>
      <c r="B21" s="133"/>
      <c r="C21" s="133"/>
      <c r="D21" s="133"/>
      <c r="E21" s="133"/>
      <c r="F21" s="133"/>
      <c r="G21" s="133"/>
      <c r="H21" s="133" t="s">
        <v>21</v>
      </c>
      <c r="I21" s="133" t="s">
        <v>21</v>
      </c>
      <c r="J21" s="133"/>
      <c r="K21" s="133"/>
    </row>
    <row r="22" spans="1:11" x14ac:dyDescent="0.25">
      <c r="A22" s="52" t="s">
        <v>188</v>
      </c>
      <c r="B22" s="133" t="s">
        <v>21</v>
      </c>
      <c r="C22" s="133" t="s">
        <v>21</v>
      </c>
      <c r="D22" s="133" t="s">
        <v>21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189</v>
      </c>
      <c r="B23" s="133"/>
      <c r="C23" s="133" t="s">
        <v>21</v>
      </c>
      <c r="D23" s="133"/>
      <c r="E23" s="133"/>
      <c r="F23" s="133"/>
      <c r="G23" s="133"/>
      <c r="H23" s="133"/>
      <c r="I23" s="133" t="s">
        <v>21</v>
      </c>
      <c r="J23" s="133"/>
      <c r="K23" s="133"/>
    </row>
    <row r="24" spans="1:11" x14ac:dyDescent="0.25">
      <c r="A24" s="52" t="s">
        <v>190</v>
      </c>
      <c r="B24" s="133"/>
      <c r="C24" s="133"/>
      <c r="D24" s="133"/>
      <c r="E24" s="133"/>
      <c r="F24" s="133"/>
      <c r="G24" s="133"/>
      <c r="H24" s="133" t="s">
        <v>21</v>
      </c>
      <c r="I24" s="133"/>
      <c r="J24" s="133"/>
      <c r="K24" s="133"/>
    </row>
    <row r="25" spans="1:11" x14ac:dyDescent="0.25">
      <c r="A25" s="52" t="s">
        <v>191</v>
      </c>
      <c r="B25" s="133"/>
      <c r="C25" s="133"/>
      <c r="D25" s="133"/>
      <c r="E25" s="133"/>
      <c r="F25" s="133"/>
      <c r="G25" s="133"/>
      <c r="H25" s="133" t="s">
        <v>21</v>
      </c>
      <c r="I25" s="133"/>
      <c r="J25" s="133"/>
      <c r="K25" s="133"/>
    </row>
    <row r="26" spans="1:11" x14ac:dyDescent="0.25">
      <c r="A26" s="52" t="s">
        <v>192</v>
      </c>
      <c r="B26" s="133"/>
      <c r="C26" s="133" t="s">
        <v>21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193</v>
      </c>
      <c r="B27" s="133"/>
      <c r="C27" s="133" t="s">
        <v>21</v>
      </c>
      <c r="D27" s="133"/>
      <c r="E27" s="133"/>
      <c r="F27" s="133"/>
      <c r="G27" s="133"/>
      <c r="H27" s="133"/>
      <c r="I27" s="133" t="s">
        <v>21</v>
      </c>
      <c r="J27" s="133"/>
      <c r="K27" s="133"/>
    </row>
    <row r="28" spans="1:11" x14ac:dyDescent="0.25">
      <c r="A28" s="52" t="s">
        <v>194</v>
      </c>
      <c r="B28" s="133"/>
      <c r="C28" s="133"/>
      <c r="D28" s="133"/>
      <c r="E28" s="133"/>
      <c r="F28" s="133"/>
      <c r="G28" s="133"/>
      <c r="H28" s="133" t="s">
        <v>21</v>
      </c>
      <c r="I28" s="133"/>
      <c r="J28" s="133"/>
      <c r="K28" s="133"/>
    </row>
    <row r="29" spans="1:11" x14ac:dyDescent="0.25">
      <c r="A29" s="52" t="s">
        <v>195</v>
      </c>
      <c r="B29" s="133" t="s">
        <v>21</v>
      </c>
      <c r="C29" s="133"/>
      <c r="D29" s="133" t="s">
        <v>21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165</v>
      </c>
      <c r="B30" s="133"/>
      <c r="C30" s="133"/>
      <c r="D30" s="133"/>
      <c r="E30" s="133" t="s">
        <v>21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196</v>
      </c>
      <c r="B31" s="133"/>
      <c r="C31" s="133"/>
      <c r="D31" s="133"/>
      <c r="E31" s="133"/>
      <c r="F31" s="133"/>
      <c r="G31" s="133" t="s">
        <v>21</v>
      </c>
      <c r="H31" s="133" t="s">
        <v>21</v>
      </c>
      <c r="I31" s="133"/>
      <c r="J31" s="133"/>
      <c r="K31" s="133"/>
    </row>
    <row r="32" spans="1:11" x14ac:dyDescent="0.25">
      <c r="A32" s="52" t="s">
        <v>197</v>
      </c>
      <c r="B32" s="133"/>
      <c r="C32" s="133"/>
      <c r="D32" s="133"/>
      <c r="E32" s="133"/>
      <c r="F32" s="133"/>
      <c r="G32" s="133" t="s">
        <v>21</v>
      </c>
      <c r="H32" s="133" t="s">
        <v>21</v>
      </c>
      <c r="I32" s="133"/>
      <c r="J32" s="133"/>
      <c r="K32" s="133"/>
    </row>
    <row r="33" spans="1:11" x14ac:dyDescent="0.25">
      <c r="A33" s="52" t="s">
        <v>198</v>
      </c>
      <c r="B33" s="133"/>
      <c r="C33" s="133"/>
      <c r="D33" s="133"/>
      <c r="E33" s="133"/>
      <c r="F33" s="133"/>
      <c r="G33" s="133" t="s">
        <v>21</v>
      </c>
      <c r="H33" s="133" t="s">
        <v>21</v>
      </c>
      <c r="I33" s="133"/>
      <c r="J33" s="133"/>
      <c r="K33" s="133"/>
    </row>
    <row r="34" spans="1:11" x14ac:dyDescent="0.25">
      <c r="A34" s="52" t="s">
        <v>199</v>
      </c>
      <c r="B34" s="133"/>
      <c r="C34" s="133"/>
      <c r="D34" s="133"/>
      <c r="E34" s="133"/>
      <c r="F34" s="133"/>
      <c r="G34" s="133" t="s">
        <v>21</v>
      </c>
      <c r="H34" s="133" t="s">
        <v>21</v>
      </c>
      <c r="I34" s="133"/>
      <c r="J34" s="133"/>
      <c r="K34" s="133"/>
    </row>
    <row r="35" spans="1:11" x14ac:dyDescent="0.25">
      <c r="A35" s="52" t="s">
        <v>200</v>
      </c>
      <c r="B35" s="133"/>
      <c r="C35" s="133"/>
      <c r="D35" s="133"/>
      <c r="E35" s="133"/>
      <c r="F35" s="133"/>
      <c r="G35" s="133" t="s">
        <v>21</v>
      </c>
      <c r="H35" s="133" t="s">
        <v>21</v>
      </c>
      <c r="I35" s="133"/>
      <c r="J35" s="133"/>
      <c r="K35" s="133"/>
    </row>
    <row r="36" spans="1:11" x14ac:dyDescent="0.25">
      <c r="A36" s="52" t="s">
        <v>201</v>
      </c>
      <c r="B36" s="133"/>
      <c r="C36" s="133"/>
      <c r="D36" s="133"/>
      <c r="E36" s="133"/>
      <c r="F36" s="133"/>
      <c r="G36" s="133" t="s">
        <v>21</v>
      </c>
      <c r="H36" s="133" t="s">
        <v>21</v>
      </c>
      <c r="I36" s="133"/>
      <c r="J36" s="133"/>
      <c r="K36" s="133"/>
    </row>
    <row r="37" spans="1:11" x14ac:dyDescent="0.25">
      <c r="A37" s="52" t="s">
        <v>202</v>
      </c>
      <c r="B37" s="133"/>
      <c r="C37" s="133"/>
      <c r="D37" s="133"/>
      <c r="E37" s="133"/>
      <c r="F37" s="133"/>
      <c r="G37" s="133"/>
      <c r="H37" s="133" t="s">
        <v>21</v>
      </c>
      <c r="I37" s="133"/>
      <c r="J37" s="133"/>
      <c r="K37" s="133"/>
    </row>
    <row r="38" spans="1:11" x14ac:dyDescent="0.25">
      <c r="A38" s="52" t="s">
        <v>203</v>
      </c>
      <c r="B38" s="133" t="s">
        <v>21</v>
      </c>
      <c r="C38" s="133"/>
      <c r="D38" s="133"/>
      <c r="E38" s="133"/>
      <c r="F38" s="133"/>
      <c r="G38" s="133" t="s">
        <v>21</v>
      </c>
      <c r="H38" s="133" t="s">
        <v>21</v>
      </c>
      <c r="I38" s="133"/>
      <c r="J38" s="133"/>
      <c r="K38" s="133"/>
    </row>
  </sheetData>
  <sheetProtection algorithmName="SHA-512" hashValue="oOunuu3tmp0Xe55uUE56QVSvwS3NpFPgB4FB4xTy5ff1rTouYsggQfDbamwv0NF3eCt262k8gQ2Rq+qw6NOz1w==" saltValue="O6gI33m2VPSbRn9KVc+7e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220</v>
      </c>
      <c r="B1" s="35" t="s">
        <v>216</v>
      </c>
      <c r="C1" s="35" t="s">
        <v>135</v>
      </c>
      <c r="D1" s="35" t="s">
        <v>217</v>
      </c>
      <c r="E1" s="35" t="s">
        <v>218</v>
      </c>
      <c r="F1" s="35" t="s">
        <v>142</v>
      </c>
      <c r="G1" s="35" t="s">
        <v>101</v>
      </c>
      <c r="H1" s="35" t="s">
        <v>59</v>
      </c>
      <c r="I1" s="35" t="s">
        <v>219</v>
      </c>
      <c r="J1" s="35" t="s">
        <v>52</v>
      </c>
      <c r="K1" s="35" t="s">
        <v>83</v>
      </c>
    </row>
    <row r="2" spans="1:11" x14ac:dyDescent="0.25">
      <c r="A2" s="35" t="s">
        <v>123</v>
      </c>
      <c r="B2" s="133" t="s">
        <v>21</v>
      </c>
      <c r="C2" s="133" t="s">
        <v>21</v>
      </c>
      <c r="D2" s="133" t="s">
        <v>21</v>
      </c>
      <c r="E2" s="133" t="s">
        <v>21</v>
      </c>
      <c r="F2" s="133" t="s">
        <v>21</v>
      </c>
      <c r="G2" s="133" t="s">
        <v>21</v>
      </c>
      <c r="H2" s="133" t="s">
        <v>21</v>
      </c>
      <c r="I2" s="133"/>
      <c r="J2" s="133"/>
      <c r="K2" s="133"/>
    </row>
    <row r="3" spans="1:11" x14ac:dyDescent="0.25">
      <c r="A3" s="35" t="s">
        <v>110</v>
      </c>
      <c r="B3" s="133" t="s">
        <v>21</v>
      </c>
      <c r="C3" s="133" t="s">
        <v>21</v>
      </c>
      <c r="D3" s="133" t="s">
        <v>21</v>
      </c>
      <c r="E3" s="133" t="s">
        <v>21</v>
      </c>
      <c r="F3" s="133" t="s">
        <v>21</v>
      </c>
      <c r="G3" s="133" t="s">
        <v>21</v>
      </c>
      <c r="H3" s="133" t="s">
        <v>21</v>
      </c>
      <c r="I3" s="133"/>
      <c r="J3" s="133"/>
      <c r="K3" s="133"/>
    </row>
    <row r="4" spans="1:11" x14ac:dyDescent="0.25">
      <c r="A4" s="35" t="s">
        <v>111</v>
      </c>
      <c r="B4" s="133" t="s">
        <v>21</v>
      </c>
      <c r="C4" s="133" t="s">
        <v>21</v>
      </c>
      <c r="D4" s="133" t="s">
        <v>21</v>
      </c>
      <c r="E4" s="133" t="s">
        <v>21</v>
      </c>
      <c r="F4" s="133" t="s">
        <v>21</v>
      </c>
      <c r="G4" s="133" t="s">
        <v>21</v>
      </c>
      <c r="H4" s="133" t="s">
        <v>21</v>
      </c>
      <c r="I4" s="133"/>
      <c r="J4" s="133"/>
      <c r="K4" s="133"/>
    </row>
    <row r="5" spans="1:11" x14ac:dyDescent="0.25">
      <c r="A5" s="35" t="s">
        <v>112</v>
      </c>
      <c r="B5" s="133" t="s">
        <v>21</v>
      </c>
      <c r="C5" s="133" t="s">
        <v>21</v>
      </c>
      <c r="D5" s="133" t="s">
        <v>21</v>
      </c>
      <c r="E5" s="133" t="s">
        <v>21</v>
      </c>
      <c r="F5" s="133" t="s">
        <v>21</v>
      </c>
      <c r="G5" s="133" t="s">
        <v>21</v>
      </c>
      <c r="H5" s="133" t="s">
        <v>21</v>
      </c>
      <c r="I5" s="133"/>
      <c r="J5" s="133"/>
      <c r="K5" s="133"/>
    </row>
    <row r="6" spans="1:11" x14ac:dyDescent="0.25">
      <c r="A6" s="35" t="s">
        <v>113</v>
      </c>
      <c r="B6" s="133" t="s">
        <v>21</v>
      </c>
      <c r="C6" s="133" t="s">
        <v>21</v>
      </c>
      <c r="D6" s="133" t="s">
        <v>21</v>
      </c>
      <c r="E6" s="133" t="s">
        <v>21</v>
      </c>
      <c r="F6" s="133" t="s">
        <v>21</v>
      </c>
      <c r="G6" s="133" t="s">
        <v>21</v>
      </c>
      <c r="H6" s="133" t="s">
        <v>21</v>
      </c>
      <c r="I6" s="133"/>
      <c r="J6" s="133"/>
      <c r="K6" s="133"/>
    </row>
    <row r="7" spans="1:11" x14ac:dyDescent="0.25">
      <c r="A7" s="35" t="s">
        <v>136</v>
      </c>
      <c r="B7" s="133"/>
      <c r="C7" s="133" t="s">
        <v>21</v>
      </c>
      <c r="D7" s="133"/>
      <c r="E7" s="133"/>
      <c r="F7" s="133"/>
      <c r="G7" s="133"/>
      <c r="H7" s="133" t="s">
        <v>21</v>
      </c>
      <c r="I7" s="133" t="s">
        <v>21</v>
      </c>
      <c r="J7" s="133"/>
      <c r="K7" s="133"/>
    </row>
    <row r="8" spans="1:11" x14ac:dyDescent="0.25">
      <c r="A8" s="35" t="s">
        <v>137</v>
      </c>
      <c r="B8" s="133"/>
      <c r="C8" s="133" t="s">
        <v>21</v>
      </c>
      <c r="D8" s="133"/>
      <c r="E8" s="133"/>
      <c r="F8" s="133"/>
      <c r="G8" s="133"/>
      <c r="H8" s="133" t="s">
        <v>21</v>
      </c>
      <c r="I8" s="133" t="s">
        <v>21</v>
      </c>
      <c r="J8" s="133"/>
      <c r="K8" s="133"/>
    </row>
    <row r="9" spans="1:11" x14ac:dyDescent="0.25">
      <c r="A9" s="35" t="s">
        <v>138</v>
      </c>
      <c r="B9" s="133"/>
      <c r="C9" s="133" t="s">
        <v>21</v>
      </c>
      <c r="D9" s="133"/>
      <c r="E9" s="133"/>
      <c r="F9" s="133"/>
      <c r="G9" s="133"/>
      <c r="H9" s="133" t="s">
        <v>21</v>
      </c>
      <c r="I9" s="133" t="s">
        <v>21</v>
      </c>
      <c r="J9" s="133"/>
      <c r="K9" s="133"/>
    </row>
    <row r="10" spans="1:11" x14ac:dyDescent="0.25">
      <c r="A10" s="35" t="s">
        <v>139</v>
      </c>
      <c r="B10" s="133"/>
      <c r="C10" s="133" t="s">
        <v>21</v>
      </c>
      <c r="D10" s="133"/>
      <c r="E10" s="133"/>
      <c r="F10" s="133"/>
      <c r="G10" s="133"/>
      <c r="H10" s="133" t="s">
        <v>21</v>
      </c>
      <c r="I10" s="133" t="s">
        <v>21</v>
      </c>
      <c r="J10" s="133"/>
      <c r="K10" s="133"/>
    </row>
    <row r="11" spans="1:11" x14ac:dyDescent="0.25">
      <c r="A11" s="35" t="s">
        <v>84</v>
      </c>
      <c r="B11" s="133"/>
      <c r="C11" s="133" t="s">
        <v>21</v>
      </c>
      <c r="D11" s="133"/>
      <c r="E11" s="133"/>
      <c r="F11" s="133"/>
      <c r="G11" s="133"/>
      <c r="H11" s="133"/>
      <c r="I11" s="133"/>
      <c r="J11" s="133" t="s">
        <v>21</v>
      </c>
      <c r="K11" s="133" t="s">
        <v>21</v>
      </c>
    </row>
    <row r="12" spans="1:11" x14ac:dyDescent="0.25">
      <c r="A12" s="35" t="s">
        <v>85</v>
      </c>
      <c r="B12" s="133"/>
      <c r="C12" s="133" t="s">
        <v>21</v>
      </c>
      <c r="D12" s="133"/>
      <c r="E12" s="133"/>
      <c r="F12" s="133"/>
      <c r="G12" s="133"/>
      <c r="H12" s="133"/>
      <c r="I12" s="133"/>
      <c r="J12" s="133"/>
      <c r="K12" s="133" t="s">
        <v>21</v>
      </c>
    </row>
    <row r="13" spans="1:11" x14ac:dyDescent="0.25">
      <c r="A13" s="35" t="s">
        <v>86</v>
      </c>
      <c r="B13" s="133"/>
      <c r="C13" s="133" t="s">
        <v>21</v>
      </c>
      <c r="D13" s="133"/>
      <c r="E13" s="133"/>
      <c r="F13" s="133"/>
      <c r="G13" s="133"/>
      <c r="H13" s="133"/>
      <c r="I13" s="133"/>
      <c r="J13" s="133"/>
      <c r="K13" s="133" t="s">
        <v>21</v>
      </c>
    </row>
    <row r="14" spans="1:11" x14ac:dyDescent="0.25">
      <c r="A14" s="35" t="s">
        <v>87</v>
      </c>
      <c r="B14" s="133"/>
      <c r="C14" s="133" t="s">
        <v>21</v>
      </c>
      <c r="D14" s="133"/>
      <c r="E14" s="133"/>
      <c r="F14" s="133"/>
      <c r="G14" s="133"/>
      <c r="H14" s="133"/>
      <c r="I14" s="133"/>
      <c r="J14" s="133"/>
      <c r="K14" s="133" t="s">
        <v>21</v>
      </c>
    </row>
  </sheetData>
  <sheetProtection algorithmName="SHA-512" hashValue="WPfTSBHAdWtO+eebBwnrc5CXzXGeX1LIqfTBx8B03+XeW3pcQ2/4jj9StOu/+zvXNT4PhRP+eCUetyAwYN+dIw==" saltValue="ljxzj8ffis0aeEhky+uy0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221</v>
      </c>
      <c r="B1" s="40" t="s">
        <v>159</v>
      </c>
      <c r="C1" s="40" t="s">
        <v>168</v>
      </c>
      <c r="D1" s="40" t="s">
        <v>123</v>
      </c>
      <c r="E1" s="40" t="s">
        <v>110</v>
      </c>
      <c r="F1" s="40" t="s">
        <v>111</v>
      </c>
      <c r="G1" s="40" t="s">
        <v>112</v>
      </c>
      <c r="H1" s="94" t="s">
        <v>113</v>
      </c>
    </row>
    <row r="2" spans="1:10" ht="13" x14ac:dyDescent="0.3">
      <c r="A2" s="40" t="s">
        <v>222</v>
      </c>
      <c r="B2" s="138" t="s">
        <v>114</v>
      </c>
      <c r="C2" s="35" t="s">
        <v>160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161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162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123</v>
      </c>
      <c r="C5" s="35" t="s">
        <v>160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161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162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110</v>
      </c>
      <c r="C8" s="35" t="s">
        <v>160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161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162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111</v>
      </c>
      <c r="C11" s="35" t="s">
        <v>160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161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162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112</v>
      </c>
      <c r="C14" s="35" t="s">
        <v>160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161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162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163</v>
      </c>
      <c r="C17" s="35" t="s">
        <v>162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223</v>
      </c>
      <c r="B19" s="138" t="s">
        <v>114</v>
      </c>
      <c r="C19" s="35" t="s">
        <v>160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161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162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123</v>
      </c>
      <c r="C22" s="35" t="s">
        <v>160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161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162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110</v>
      </c>
      <c r="C25" s="35" t="s">
        <v>160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161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162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111</v>
      </c>
      <c r="C28" s="35" t="s">
        <v>160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161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162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112</v>
      </c>
      <c r="C31" s="35" t="s">
        <v>160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161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162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163</v>
      </c>
      <c r="C34" s="35" t="s">
        <v>162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224</v>
      </c>
      <c r="B36" s="138" t="s">
        <v>114</v>
      </c>
      <c r="C36" s="35" t="s">
        <v>160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161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162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123</v>
      </c>
      <c r="C39" s="35" t="s">
        <v>160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161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162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110</v>
      </c>
      <c r="C42" s="35" t="s">
        <v>160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161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162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111</v>
      </c>
      <c r="C45" s="35" t="s">
        <v>160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161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162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112</v>
      </c>
      <c r="C48" s="35" t="s">
        <v>160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161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162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163</v>
      </c>
      <c r="C51" s="35" t="s">
        <v>162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cQpGXkBGXiG7rweXCpsLih8ib9kRr7hhheKXTTz4XDO5jtGkJ46kK0YJjVPTAKUqSUyyQ8zyXhfUo24oxvCbDQ==" saltValue="kq4fSl0fLC6bCHxeUnvMkA==" spinCount="100000" sheet="1" objects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82</v>
      </c>
      <c r="B1" s="25" t="s">
        <v>83</v>
      </c>
      <c r="C1" s="23" t="s">
        <v>84</v>
      </c>
      <c r="D1" s="23" t="s">
        <v>85</v>
      </c>
      <c r="E1" s="23" t="s">
        <v>86</v>
      </c>
      <c r="F1" s="23" t="s">
        <v>87</v>
      </c>
      <c r="G1" s="23" t="s">
        <v>88</v>
      </c>
      <c r="H1" s="23" t="s">
        <v>89</v>
      </c>
      <c r="I1" s="23" t="s">
        <v>90</v>
      </c>
    </row>
    <row r="2" spans="1:9" ht="15.75" customHeight="1" x14ac:dyDescent="0.25">
      <c r="A2" s="7">
        <f>start_year</f>
        <v>2017</v>
      </c>
      <c r="B2" s="73"/>
      <c r="C2" s="74"/>
      <c r="D2" s="74"/>
      <c r="E2" s="74"/>
      <c r="F2" s="74"/>
      <c r="G2" s="22">
        <f t="shared" ref="G2:G40" si="0">C2+D2+E2+F2</f>
        <v>0</v>
      </c>
      <c r="H2" s="22">
        <f t="shared" ref="H2:H40" si="1">(B2 + stillbirth*B2/(1000-stillbirth))/(1-abortion)</f>
        <v>0</v>
      </c>
      <c r="I2" s="22">
        <f>G2-H2</f>
        <v>0</v>
      </c>
    </row>
    <row r="3" spans="1:9" ht="15.75" customHeight="1" x14ac:dyDescent="0.25">
      <c r="A3" s="7">
        <f t="shared" ref="A3:A40" si="2">IF($A$2+ROW(A3)-2&lt;=end_year,A2+1,"")</f>
        <v>2018</v>
      </c>
      <c r="B3" s="73"/>
      <c r="C3" s="74"/>
      <c r="D3" s="74"/>
      <c r="E3" s="74"/>
      <c r="F3" s="74"/>
      <c r="G3" s="22">
        <f t="shared" si="0"/>
        <v>0</v>
      </c>
      <c r="H3" s="22">
        <f t="shared" si="1"/>
        <v>0</v>
      </c>
      <c r="I3" s="22">
        <f t="shared" ref="I3:I15" si="3">G3-H3</f>
        <v>0</v>
      </c>
    </row>
    <row r="4" spans="1:9" ht="15.75" customHeight="1" x14ac:dyDescent="0.25">
      <c r="A4" s="7">
        <f t="shared" si="2"/>
        <v>2019</v>
      </c>
      <c r="B4" s="73"/>
      <c r="C4" s="74"/>
      <c r="D4" s="74"/>
      <c r="E4" s="74"/>
      <c r="F4" s="74"/>
      <c r="G4" s="22">
        <f t="shared" si="0"/>
        <v>0</v>
      </c>
      <c r="H4" s="22">
        <f t="shared" si="1"/>
        <v>0</v>
      </c>
      <c r="I4" s="22">
        <f t="shared" si="3"/>
        <v>0</v>
      </c>
    </row>
    <row r="5" spans="1:9" ht="15.75" customHeight="1" x14ac:dyDescent="0.25">
      <c r="A5" s="7">
        <f t="shared" si="2"/>
        <v>2020</v>
      </c>
      <c r="B5" s="73"/>
      <c r="C5" s="74"/>
      <c r="D5" s="74"/>
      <c r="E5" s="74"/>
      <c r="F5" s="74"/>
      <c r="G5" s="22">
        <f t="shared" si="0"/>
        <v>0</v>
      </c>
      <c r="H5" s="22">
        <f t="shared" si="1"/>
        <v>0</v>
      </c>
      <c r="I5" s="22">
        <f t="shared" si="3"/>
        <v>0</v>
      </c>
    </row>
    <row r="6" spans="1:9" ht="15.75" customHeight="1" x14ac:dyDescent="0.25">
      <c r="A6" s="7">
        <f t="shared" si="2"/>
        <v>2021</v>
      </c>
      <c r="B6" s="73"/>
      <c r="C6" s="74"/>
      <c r="D6" s="74"/>
      <c r="E6" s="74"/>
      <c r="F6" s="74"/>
      <c r="G6" s="22">
        <f t="shared" si="0"/>
        <v>0</v>
      </c>
      <c r="H6" s="22">
        <f t="shared" si="1"/>
        <v>0</v>
      </c>
      <c r="I6" s="22">
        <f t="shared" si="3"/>
        <v>0</v>
      </c>
    </row>
    <row r="7" spans="1:9" ht="15.75" customHeight="1" x14ac:dyDescent="0.25">
      <c r="A7" s="7">
        <f t="shared" si="2"/>
        <v>2022</v>
      </c>
      <c r="B7" s="73"/>
      <c r="C7" s="74"/>
      <c r="D7" s="74"/>
      <c r="E7" s="74"/>
      <c r="F7" s="74"/>
      <c r="G7" s="22">
        <f t="shared" si="0"/>
        <v>0</v>
      </c>
      <c r="H7" s="22">
        <f t="shared" si="1"/>
        <v>0</v>
      </c>
      <c r="I7" s="22">
        <f t="shared" si="3"/>
        <v>0</v>
      </c>
    </row>
    <row r="8" spans="1:9" ht="15.75" customHeight="1" x14ac:dyDescent="0.25">
      <c r="A8" s="7">
        <f t="shared" si="2"/>
        <v>2023</v>
      </c>
      <c r="B8" s="73"/>
      <c r="C8" s="74"/>
      <c r="D8" s="74"/>
      <c r="E8" s="74"/>
      <c r="F8" s="74"/>
      <c r="G8" s="22">
        <f t="shared" si="0"/>
        <v>0</v>
      </c>
      <c r="H8" s="22">
        <f t="shared" si="1"/>
        <v>0</v>
      </c>
      <c r="I8" s="22">
        <f t="shared" si="3"/>
        <v>0</v>
      </c>
    </row>
    <row r="9" spans="1:9" ht="15.75" customHeight="1" x14ac:dyDescent="0.25">
      <c r="A9" s="7">
        <f t="shared" si="2"/>
        <v>2024</v>
      </c>
      <c r="B9" s="73"/>
      <c r="C9" s="74"/>
      <c r="D9" s="74"/>
      <c r="E9" s="74"/>
      <c r="F9" s="74"/>
      <c r="G9" s="22">
        <f t="shared" si="0"/>
        <v>0</v>
      </c>
      <c r="H9" s="22">
        <f t="shared" si="1"/>
        <v>0</v>
      </c>
      <c r="I9" s="22">
        <f t="shared" si="3"/>
        <v>0</v>
      </c>
    </row>
    <row r="10" spans="1:9" ht="15.75" customHeight="1" x14ac:dyDescent="0.25">
      <c r="A10" s="7">
        <f t="shared" si="2"/>
        <v>2025</v>
      </c>
      <c r="B10" s="73"/>
      <c r="C10" s="74"/>
      <c r="D10" s="74"/>
      <c r="E10" s="74"/>
      <c r="F10" s="74"/>
      <c r="G10" s="22">
        <f t="shared" si="0"/>
        <v>0</v>
      </c>
      <c r="H10" s="22">
        <f t="shared" si="1"/>
        <v>0</v>
      </c>
      <c r="I10" s="22">
        <f t="shared" si="3"/>
        <v>0</v>
      </c>
    </row>
    <row r="11" spans="1:9" ht="15.75" customHeight="1" x14ac:dyDescent="0.25">
      <c r="A11" s="7">
        <f t="shared" si="2"/>
        <v>2026</v>
      </c>
      <c r="B11" s="73"/>
      <c r="C11" s="74"/>
      <c r="D11" s="74"/>
      <c r="E11" s="74"/>
      <c r="F11" s="74"/>
      <c r="G11" s="22">
        <f t="shared" si="0"/>
        <v>0</v>
      </c>
      <c r="H11" s="22">
        <f t="shared" si="1"/>
        <v>0</v>
      </c>
      <c r="I11" s="22">
        <f t="shared" si="3"/>
        <v>0</v>
      </c>
    </row>
    <row r="12" spans="1:9" ht="15.75" customHeight="1" x14ac:dyDescent="0.25">
      <c r="A12" s="7">
        <f t="shared" si="2"/>
        <v>2027</v>
      </c>
      <c r="B12" s="73"/>
      <c r="C12" s="74"/>
      <c r="D12" s="74"/>
      <c r="E12" s="74"/>
      <c r="F12" s="74"/>
      <c r="G12" s="22">
        <f t="shared" si="0"/>
        <v>0</v>
      </c>
      <c r="H12" s="22">
        <f t="shared" si="1"/>
        <v>0</v>
      </c>
      <c r="I12" s="22">
        <f t="shared" si="3"/>
        <v>0</v>
      </c>
    </row>
    <row r="13" spans="1:9" ht="15.75" customHeight="1" x14ac:dyDescent="0.25">
      <c r="A13" s="7">
        <f t="shared" si="2"/>
        <v>2028</v>
      </c>
      <c r="B13" s="73"/>
      <c r="C13" s="74"/>
      <c r="D13" s="74"/>
      <c r="E13" s="74"/>
      <c r="F13" s="74"/>
      <c r="G13" s="22">
        <f t="shared" si="0"/>
        <v>0</v>
      </c>
      <c r="H13" s="22">
        <f t="shared" si="1"/>
        <v>0</v>
      </c>
      <c r="I13" s="22">
        <f t="shared" si="3"/>
        <v>0</v>
      </c>
    </row>
    <row r="14" spans="1:9" ht="15.75" customHeight="1" x14ac:dyDescent="0.25">
      <c r="A14" s="7">
        <f t="shared" si="2"/>
        <v>2029</v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>
        <f t="shared" si="2"/>
        <v>2030</v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dFcuS4DZZDbXQKyOq6jcdkjixIXxIeV+8eJiLB57Anl5T8R8Jt3yEscz2WK4i3XzR2djSfBhD6DQSzr9UXXoA==" saltValue="Pf6bLZl6RfWdW5MIJ+skPg==" spinCount="100000" sheet="1" objects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C9" sqref="C9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225</v>
      </c>
    </row>
    <row r="2" spans="1:7" ht="15.75" customHeight="1" x14ac:dyDescent="0.3">
      <c r="B2" s="101"/>
      <c r="C2" s="102" t="s">
        <v>70</v>
      </c>
      <c r="D2" s="103" t="s">
        <v>69</v>
      </c>
      <c r="E2" s="103" t="s">
        <v>68</v>
      </c>
      <c r="F2" s="103" t="s">
        <v>67</v>
      </c>
    </row>
    <row r="3" spans="1:7" ht="15.75" customHeight="1" x14ac:dyDescent="0.3">
      <c r="A3" s="40" t="s">
        <v>226</v>
      </c>
      <c r="B3" s="104"/>
      <c r="C3" s="105"/>
      <c r="D3" s="106"/>
      <c r="E3" s="106"/>
      <c r="F3" s="106"/>
    </row>
    <row r="4" spans="1:7" ht="15.75" customHeight="1" x14ac:dyDescent="0.25">
      <c r="B4" s="107" t="s">
        <v>53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54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55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56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233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227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228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229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230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231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232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92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93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94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95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96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97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98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99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UwtnhdYNKU6QvQxD6704IZEFlKgZfsZnYqJt+XaIuyaJPyElO6IkIV/tH2lCvZK2dX8cGO0IwwKYFfkIoTsheg==" saltValue="vUY2cpYSi324cX2mb2igB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9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234</v>
      </c>
    </row>
    <row r="2" spans="1:16" ht="13" x14ac:dyDescent="0.3">
      <c r="A2" s="118" t="s">
        <v>216</v>
      </c>
      <c r="B2" s="119" t="s">
        <v>235</v>
      </c>
      <c r="C2" s="119" t="s">
        <v>236</v>
      </c>
      <c r="D2" s="103" t="s">
        <v>123</v>
      </c>
      <c r="E2" s="103" t="s">
        <v>110</v>
      </c>
      <c r="F2" s="103" t="s">
        <v>111</v>
      </c>
      <c r="G2" s="103" t="s">
        <v>112</v>
      </c>
      <c r="H2" s="103" t="s">
        <v>113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101</v>
      </c>
      <c r="C3" s="43" t="s">
        <v>25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237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238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239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102</v>
      </c>
      <c r="C7" s="43" t="s">
        <v>25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237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238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239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104</v>
      </c>
      <c r="C11" s="43" t="s">
        <v>25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237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238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239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105</v>
      </c>
      <c r="C15" s="43" t="s">
        <v>25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237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238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239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103</v>
      </c>
      <c r="C19" s="43" t="s">
        <v>25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237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238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239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109</v>
      </c>
      <c r="C23" s="43" t="s">
        <v>25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237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238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239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248</v>
      </c>
    </row>
    <row r="29" spans="1:16" s="36" customFormat="1" ht="13" x14ac:dyDescent="0.3">
      <c r="A29" s="121" t="s">
        <v>26</v>
      </c>
      <c r="B29" s="94" t="s">
        <v>235</v>
      </c>
      <c r="C29" s="94" t="s">
        <v>240</v>
      </c>
      <c r="D29" s="103" t="s">
        <v>123</v>
      </c>
      <c r="E29" s="103" t="s">
        <v>110</v>
      </c>
      <c r="F29" s="103" t="s">
        <v>111</v>
      </c>
      <c r="G29" s="103" t="s">
        <v>112</v>
      </c>
      <c r="H29" s="103" t="s">
        <v>113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101</v>
      </c>
      <c r="C30" s="43" t="s">
        <v>25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237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207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206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102</v>
      </c>
      <c r="C34" s="43" t="s">
        <v>25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237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207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206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104</v>
      </c>
      <c r="C38" s="43" t="s">
        <v>25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237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207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206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105</v>
      </c>
      <c r="C42" s="43" t="s">
        <v>25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237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207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206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103</v>
      </c>
      <c r="C46" s="43" t="s">
        <v>25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237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207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206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109</v>
      </c>
      <c r="C50" s="43" t="s">
        <v>25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237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207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206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135</v>
      </c>
      <c r="B56" s="94" t="s">
        <v>235</v>
      </c>
      <c r="C56" s="123" t="s">
        <v>242</v>
      </c>
      <c r="D56" s="103" t="s">
        <v>136</v>
      </c>
      <c r="E56" s="103" t="s">
        <v>137</v>
      </c>
      <c r="F56" s="103" t="s">
        <v>138</v>
      </c>
      <c r="G56" s="103" t="s">
        <v>139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115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116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117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142</v>
      </c>
      <c r="B65" s="94" t="s">
        <v>235</v>
      </c>
      <c r="C65" s="123" t="s">
        <v>246</v>
      </c>
      <c r="D65" s="103" t="s">
        <v>123</v>
      </c>
      <c r="E65" s="103" t="s">
        <v>110</v>
      </c>
      <c r="F65" s="103" t="s">
        <v>111</v>
      </c>
      <c r="G65" s="103" t="s">
        <v>112</v>
      </c>
      <c r="H65" s="124" t="s">
        <v>113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92</v>
      </c>
      <c r="C66" s="43" t="s">
        <v>143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144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145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146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93</v>
      </c>
      <c r="C70" s="43" t="s">
        <v>143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144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145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146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94</v>
      </c>
      <c r="C74" s="43" t="s">
        <v>143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144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145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146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96</v>
      </c>
      <c r="C78" s="43" t="s">
        <v>143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144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145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146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101</v>
      </c>
      <c r="C82" s="43" t="s">
        <v>143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144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145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146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102</v>
      </c>
      <c r="C86" s="43" t="s">
        <v>143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144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145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146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104</v>
      </c>
      <c r="C90" s="43" t="s">
        <v>143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144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145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146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103</v>
      </c>
      <c r="C94" s="43" t="s">
        <v>143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144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145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146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106</v>
      </c>
      <c r="C98" s="43" t="s">
        <v>143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144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145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146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101</v>
      </c>
      <c r="B104" s="126" t="s">
        <v>146</v>
      </c>
      <c r="C104" s="123" t="s">
        <v>246</v>
      </c>
      <c r="D104" s="103" t="s">
        <v>123</v>
      </c>
      <c r="E104" s="103" t="s">
        <v>110</v>
      </c>
      <c r="F104" s="103" t="s">
        <v>111</v>
      </c>
      <c r="G104" s="103" t="s">
        <v>112</v>
      </c>
      <c r="H104" s="124" t="s">
        <v>113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143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144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145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146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xAXILgRDZwl/H/yDH1GjH9haQZ98bGkEthM1aLaDJfSi1nlxLweCIo75loHWM94HNeM2Veqcr1GqmmEYTIg2iQ==" saltValue="B9/2AQ6GUx9zYUyyQOGRb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D6" sqref="D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223</v>
      </c>
    </row>
    <row r="2" spans="1:7" ht="14.25" customHeight="1" x14ac:dyDescent="0.3">
      <c r="A2" s="125" t="s">
        <v>0</v>
      </c>
      <c r="B2" s="119"/>
      <c r="C2" s="40" t="s">
        <v>123</v>
      </c>
      <c r="D2" s="40" t="s">
        <v>110</v>
      </c>
      <c r="E2" s="40" t="s">
        <v>111</v>
      </c>
      <c r="F2" s="40" t="s">
        <v>112</v>
      </c>
      <c r="G2" s="40" t="s">
        <v>113</v>
      </c>
    </row>
    <row r="3" spans="1:7" ht="14.25" customHeight="1" x14ac:dyDescent="0.25">
      <c r="B3" s="113" t="s">
        <v>249</v>
      </c>
      <c r="C3" s="136" t="s">
        <v>27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251</v>
      </c>
    </row>
    <row r="6" spans="1:7" ht="14.25" customHeight="1" x14ac:dyDescent="0.25">
      <c r="B6" s="117" t="s">
        <v>195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188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203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255</v>
      </c>
    </row>
    <row r="11" spans="1:7" ht="14.25" customHeight="1" x14ac:dyDescent="0.3">
      <c r="A11" s="104"/>
      <c r="B11" s="113" t="s">
        <v>187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252</v>
      </c>
    </row>
    <row r="14" spans="1:7" ht="14.25" customHeight="1" x14ac:dyDescent="0.3">
      <c r="A14" s="125" t="s">
        <v>26</v>
      </c>
      <c r="B14" s="117" t="s">
        <v>253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135</v>
      </c>
      <c r="B16" s="113" t="s">
        <v>254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257</v>
      </c>
    </row>
    <row r="19" spans="1:6" s="104" customFormat="1" ht="14.25" customHeight="1" x14ac:dyDescent="0.3">
      <c r="C19" s="56" t="s">
        <v>84</v>
      </c>
      <c r="D19" s="56" t="s">
        <v>85</v>
      </c>
      <c r="E19" s="56" t="s">
        <v>86</v>
      </c>
      <c r="F19" s="56" t="s">
        <v>87</v>
      </c>
    </row>
    <row r="20" spans="1:6" x14ac:dyDescent="0.25">
      <c r="B20" s="113" t="s">
        <v>176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/PEBWvQBYL/ACTUmJANJnuZwREz5oe7HvbjoH0TRshAvl55NSaBD1x5A0wRN2CutAbiAfe1c2fNXDh+9LXTJCQ==" saltValue="W2+69ntTi7YNQz/gH82mk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C11" sqref="C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164</v>
      </c>
      <c r="B1" s="40"/>
      <c r="C1" s="40" t="s">
        <v>67</v>
      </c>
      <c r="D1" s="40" t="s">
        <v>69</v>
      </c>
      <c r="E1" s="40" t="s">
        <v>68</v>
      </c>
      <c r="F1" s="119" t="s">
        <v>70</v>
      </c>
    </row>
    <row r="2" spans="1:6" ht="15.75" customHeight="1" x14ac:dyDescent="0.25">
      <c r="A2" s="90" t="s">
        <v>172</v>
      </c>
      <c r="B2" s="90" t="s">
        <v>215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258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184</v>
      </c>
      <c r="B4" s="90" t="s">
        <v>215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258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185</v>
      </c>
      <c r="B6" s="90" t="s">
        <v>215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258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2</v>
      </c>
      <c r="B8" s="90" t="s">
        <v>215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258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189</v>
      </c>
      <c r="B10" s="90" t="s">
        <v>215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258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193</v>
      </c>
      <c r="B12" s="90" t="s">
        <v>215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258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rwC6c9vaoJMAAOxNVP039PsAyCpqYevg3UA73whkOdcto0+i+CTgg+a7dYKTha/M3gKXqx4tLz86pxLwp8zEyQ==" saltValue="XUHySELQc6vdOVZO/yyjn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topLeftCell="B1" workbookViewId="0">
      <selection activeCell="E11" sqref="E11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123</v>
      </c>
      <c r="D1" s="103" t="s">
        <v>110</v>
      </c>
      <c r="E1" s="103" t="s">
        <v>111</v>
      </c>
      <c r="F1" s="103" t="s">
        <v>112</v>
      </c>
      <c r="G1" s="103" t="s">
        <v>113</v>
      </c>
      <c r="H1" s="103" t="s">
        <v>84</v>
      </c>
      <c r="I1" s="103" t="s">
        <v>85</v>
      </c>
      <c r="J1" s="103" t="s">
        <v>86</v>
      </c>
      <c r="K1" s="103" t="s">
        <v>87</v>
      </c>
      <c r="L1" s="103" t="s">
        <v>136</v>
      </c>
      <c r="M1" s="103" t="s">
        <v>137</v>
      </c>
      <c r="N1" s="103" t="s">
        <v>138</v>
      </c>
      <c r="O1" s="103" t="s">
        <v>139</v>
      </c>
    </row>
    <row r="2" spans="1:15" ht="13" x14ac:dyDescent="0.3">
      <c r="A2" s="40" t="s">
        <v>259</v>
      </c>
    </row>
    <row r="3" spans="1:15" x14ac:dyDescent="0.25">
      <c r="B3" s="59" t="s">
        <v>175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180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181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182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183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184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185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2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188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189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192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193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260</v>
      </c>
      <c r="B16" s="59"/>
    </row>
    <row r="17" spans="2:15" x14ac:dyDescent="0.25">
      <c r="B17" s="90" t="s">
        <v>177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178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179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186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B8vURGSLl7K6ehA1dYtqNFBs+MuSSZ7bSXBqey/is1z2TqaTuKhJ3Jkmsc16Z3q9Xn2Kyz+Jajqd/SGi+flx4Q==" saltValue="PWQIGBRTKKE1Do3phDv+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5" sqref="D5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123</v>
      </c>
      <c r="D1" s="40" t="s">
        <v>110</v>
      </c>
      <c r="E1" s="40" t="s">
        <v>111</v>
      </c>
      <c r="F1" s="40" t="s">
        <v>112</v>
      </c>
      <c r="G1" s="40" t="s">
        <v>113</v>
      </c>
    </row>
    <row r="2" spans="1:7" ht="13" x14ac:dyDescent="0.3">
      <c r="A2" s="40" t="s">
        <v>261</v>
      </c>
    </row>
    <row r="3" spans="1:7" x14ac:dyDescent="0.25">
      <c r="B3" s="59" t="s">
        <v>165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262</v>
      </c>
      <c r="B4" s="59"/>
      <c r="C4" s="127"/>
      <c r="D4" s="127"/>
      <c r="E4" s="127"/>
      <c r="F4" s="127"/>
      <c r="G4" s="127"/>
    </row>
    <row r="5" spans="1:7" x14ac:dyDescent="0.25">
      <c r="B5" s="90" t="s">
        <v>169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WU8CCHuDt/vYC5D+fXBNIn9TgZEX9SBxN85AlQCuybgDdDd5OZW9bj+6jMZFihG6VjL9XLgJxBIeUTsQFqXX9w==" saltValue="p+Da47bQbdoy3dnGhUlA4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B28" zoomScale="111" workbookViewId="0">
      <selection activeCell="D38" sqref="D38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164</v>
      </c>
      <c r="B1" s="40" t="s">
        <v>263</v>
      </c>
      <c r="C1" s="125" t="s">
        <v>28</v>
      </c>
      <c r="D1" s="40" t="s">
        <v>123</v>
      </c>
      <c r="E1" s="40" t="s">
        <v>110</v>
      </c>
      <c r="F1" s="40" t="s">
        <v>111</v>
      </c>
      <c r="G1" s="40" t="s">
        <v>112</v>
      </c>
      <c r="H1" s="40" t="s">
        <v>113</v>
      </c>
    </row>
    <row r="2" spans="1:9" x14ac:dyDescent="0.25">
      <c r="A2" s="52" t="s">
        <v>196</v>
      </c>
      <c r="B2" s="52" t="s">
        <v>101</v>
      </c>
      <c r="C2" s="52" t="s">
        <v>258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264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265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195</v>
      </c>
      <c r="B5" s="52" t="s">
        <v>206</v>
      </c>
      <c r="C5" s="52" t="s">
        <v>258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265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207</v>
      </c>
      <c r="C7" s="52" t="s">
        <v>258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265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188</v>
      </c>
      <c r="B9" s="52" t="s">
        <v>206</v>
      </c>
      <c r="C9" s="52" t="s">
        <v>258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265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207</v>
      </c>
      <c r="C11" s="52" t="s">
        <v>258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265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174</v>
      </c>
      <c r="B13" s="52" t="s">
        <v>206</v>
      </c>
      <c r="C13" s="52" t="s">
        <v>258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265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207</v>
      </c>
      <c r="C15" s="52" t="s">
        <v>258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265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179</v>
      </c>
      <c r="B17" s="52" t="s">
        <v>98</v>
      </c>
      <c r="C17" s="52" t="s">
        <v>258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264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177</v>
      </c>
      <c r="B19" s="52" t="s">
        <v>98</v>
      </c>
      <c r="C19" s="52" t="s">
        <v>258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264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178</v>
      </c>
      <c r="B21" s="52" t="s">
        <v>98</v>
      </c>
      <c r="C21" s="52" t="s">
        <v>258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264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200</v>
      </c>
      <c r="B23" s="52" t="s">
        <v>101</v>
      </c>
      <c r="C23" s="52" t="s">
        <v>258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264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265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201</v>
      </c>
      <c r="B26" s="52" t="s">
        <v>101</v>
      </c>
      <c r="C26" s="52" t="s">
        <v>258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264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265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199</v>
      </c>
      <c r="B29" s="52" t="s">
        <v>101</v>
      </c>
      <c r="C29" s="52" t="s">
        <v>258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264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265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198</v>
      </c>
      <c r="B32" s="52" t="s">
        <v>101</v>
      </c>
      <c r="C32" s="52" t="s">
        <v>258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264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265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197</v>
      </c>
      <c r="B35" s="52" t="s">
        <v>101</v>
      </c>
      <c r="C35" s="52" t="s">
        <v>258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264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265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203</v>
      </c>
      <c r="B38" s="52" t="s">
        <v>101</v>
      </c>
      <c r="C38" s="52" t="s">
        <v>258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264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265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102</v>
      </c>
      <c r="C41" s="52" t="s">
        <v>258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264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265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194</v>
      </c>
      <c r="B44" s="52" t="s">
        <v>101</v>
      </c>
      <c r="C44" s="52" t="s">
        <v>258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264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202</v>
      </c>
      <c r="B46" s="52" t="s">
        <v>101</v>
      </c>
      <c r="C46" s="52" t="s">
        <v>258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264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187</v>
      </c>
      <c r="B48" s="52" t="s">
        <v>96</v>
      </c>
      <c r="C48" s="52" t="s">
        <v>258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264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agcmDkIuoJm5qKGGAMauVLxeej8pUrQVfb34khh/fmj2C9nPfCMC4e61XiE75+VBdFlNayk0drUfXHBmCXEmuQ==" saltValue="004rtSeAlwJjlIZTNDvdr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164</v>
      </c>
      <c r="B1" s="119" t="s">
        <v>263</v>
      </c>
      <c r="C1" s="119"/>
      <c r="D1" s="40" t="s">
        <v>136</v>
      </c>
      <c r="E1" s="40" t="s">
        <v>137</v>
      </c>
      <c r="F1" s="40" t="s">
        <v>138</v>
      </c>
      <c r="G1" s="40" t="s">
        <v>139</v>
      </c>
      <c r="H1" s="94"/>
    </row>
    <row r="2" spans="1:8" x14ac:dyDescent="0.25">
      <c r="A2" s="43" t="s">
        <v>173</v>
      </c>
      <c r="B2" s="35" t="s">
        <v>118</v>
      </c>
      <c r="C2" s="43" t="s">
        <v>258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264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191</v>
      </c>
      <c r="B4" s="35" t="s">
        <v>118</v>
      </c>
      <c r="C4" s="43" t="s">
        <v>258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264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190</v>
      </c>
      <c r="B6" s="35" t="s">
        <v>118</v>
      </c>
      <c r="C6" s="43" t="s">
        <v>258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264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jjNz16kurtKvx1Z+k4ai+DJG0o/tUroeqOxaYh4FXlv7d93cyXEXP9T3qqiZYVf1jRdeV0u90DJEUOaqPf86yA==" saltValue="MmQcI8aJdzE4/AzyfGMVFw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41"/>
      <c r="C1" s="41"/>
      <c r="D1" s="41"/>
      <c r="E1" s="41"/>
      <c r="F1" s="41"/>
    </row>
    <row r="2" spans="1:8" ht="27.75" customHeight="1" x14ac:dyDescent="0.3">
      <c r="A2" t="s">
        <v>91</v>
      </c>
      <c r="B2" s="41" t="s">
        <v>24</v>
      </c>
      <c r="C2" s="41" t="s">
        <v>123</v>
      </c>
      <c r="D2" s="41"/>
      <c r="E2" s="41"/>
      <c r="F2" s="41"/>
      <c r="G2" s="41"/>
    </row>
    <row r="3" spans="1:8" ht="15.75" customHeight="1" x14ac:dyDescent="0.25">
      <c r="B3" s="24" t="s">
        <v>92</v>
      </c>
      <c r="C3" s="75"/>
    </row>
    <row r="4" spans="1:8" ht="15.75" customHeight="1" x14ac:dyDescent="0.25">
      <c r="B4" s="24" t="s">
        <v>93</v>
      </c>
      <c r="C4" s="75"/>
    </row>
    <row r="5" spans="1:8" ht="15.75" customHeight="1" x14ac:dyDescent="0.25">
      <c r="B5" s="24" t="s">
        <v>94</v>
      </c>
      <c r="C5" s="75"/>
    </row>
    <row r="6" spans="1:8" ht="15.75" customHeight="1" x14ac:dyDescent="0.25">
      <c r="B6" s="24" t="s">
        <v>95</v>
      </c>
      <c r="C6" s="75"/>
    </row>
    <row r="7" spans="1:8" ht="15.75" customHeight="1" x14ac:dyDescent="0.25">
      <c r="B7" s="24" t="s">
        <v>96</v>
      </c>
      <c r="C7" s="75"/>
    </row>
    <row r="8" spans="1:8" ht="15.75" customHeight="1" x14ac:dyDescent="0.25">
      <c r="B8" s="24" t="s">
        <v>97</v>
      </c>
      <c r="C8" s="75"/>
    </row>
    <row r="9" spans="1:8" ht="15.75" customHeight="1" x14ac:dyDescent="0.25">
      <c r="B9" s="24" t="s">
        <v>98</v>
      </c>
      <c r="C9" s="75"/>
    </row>
    <row r="10" spans="1:8" ht="15.75" customHeight="1" x14ac:dyDescent="0.25">
      <c r="B10" s="24" t="s">
        <v>99</v>
      </c>
      <c r="C10" s="75"/>
    </row>
    <row r="11" spans="1:8" ht="15.75" customHeight="1" x14ac:dyDescent="0.25">
      <c r="B11" s="32" t="s">
        <v>57</v>
      </c>
      <c r="C11" s="70">
        <f>SUM(C3:C10)</f>
        <v>0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100</v>
      </c>
      <c r="B13" s="41" t="s">
        <v>24</v>
      </c>
      <c r="C13" s="23" t="s">
        <v>110</v>
      </c>
      <c r="D13" s="23" t="s">
        <v>111</v>
      </c>
      <c r="E13" s="23" t="s">
        <v>112</v>
      </c>
      <c r="F13" s="23" t="s">
        <v>113</v>
      </c>
      <c r="G13" s="24"/>
    </row>
    <row r="14" spans="1:8" ht="15.75" customHeight="1" x14ac:dyDescent="0.25">
      <c r="B14" s="24" t="s">
        <v>101</v>
      </c>
      <c r="C14" s="75"/>
      <c r="D14" s="75"/>
      <c r="E14" s="75"/>
      <c r="F14" s="75"/>
    </row>
    <row r="15" spans="1:8" ht="15.75" customHeight="1" x14ac:dyDescent="0.25">
      <c r="B15" s="24" t="s">
        <v>102</v>
      </c>
      <c r="C15" s="75"/>
      <c r="D15" s="75"/>
      <c r="E15" s="75"/>
      <c r="F15" s="75"/>
    </row>
    <row r="16" spans="1:8" ht="15.75" customHeight="1" x14ac:dyDescent="0.25">
      <c r="B16" s="24" t="s">
        <v>103</v>
      </c>
      <c r="C16" s="75"/>
      <c r="D16" s="75"/>
      <c r="E16" s="75"/>
      <c r="F16" s="75"/>
    </row>
    <row r="17" spans="1:8" ht="15.75" customHeight="1" x14ac:dyDescent="0.25">
      <c r="B17" s="24" t="s">
        <v>104</v>
      </c>
      <c r="C17" s="75"/>
      <c r="D17" s="75"/>
      <c r="E17" s="75"/>
      <c r="F17" s="75"/>
    </row>
    <row r="18" spans="1:8" ht="15.75" customHeight="1" x14ac:dyDescent="0.25">
      <c r="B18" s="24" t="s">
        <v>105</v>
      </c>
      <c r="C18" s="75"/>
      <c r="D18" s="75"/>
      <c r="E18" s="75"/>
      <c r="F18" s="75"/>
    </row>
    <row r="19" spans="1:8" ht="15.75" customHeight="1" x14ac:dyDescent="0.25">
      <c r="B19" s="24" t="s">
        <v>106</v>
      </c>
      <c r="C19" s="75"/>
      <c r="D19" s="75"/>
      <c r="E19" s="75"/>
      <c r="F19" s="75"/>
    </row>
    <row r="20" spans="1:8" ht="15.75" customHeight="1" x14ac:dyDescent="0.25">
      <c r="B20" s="24" t="s">
        <v>107</v>
      </c>
      <c r="C20" s="75"/>
      <c r="D20" s="75"/>
      <c r="E20" s="75"/>
      <c r="F20" s="75"/>
    </row>
    <row r="21" spans="1:8" ht="15.75" customHeight="1" x14ac:dyDescent="0.25">
      <c r="B21" s="24" t="s">
        <v>108</v>
      </c>
      <c r="C21" s="75"/>
      <c r="D21" s="75"/>
      <c r="E21" s="75"/>
      <c r="F21" s="75"/>
    </row>
    <row r="22" spans="1:8" ht="15.75" customHeight="1" x14ac:dyDescent="0.25">
      <c r="B22" s="24" t="s">
        <v>109</v>
      </c>
      <c r="C22" s="75"/>
      <c r="D22" s="75"/>
      <c r="E22" s="75"/>
      <c r="F22" s="75"/>
    </row>
    <row r="23" spans="1:8" ht="15.75" customHeight="1" x14ac:dyDescent="0.25">
      <c r="B23" s="32" t="s">
        <v>57</v>
      </c>
      <c r="C23" s="70">
        <f>SUM(C14:C22)</f>
        <v>0</v>
      </c>
      <c r="D23" s="70">
        <f t="shared" ref="D23:F23" si="0">SUM(D14:D22)</f>
        <v>0</v>
      </c>
      <c r="E23" s="70">
        <f t="shared" si="0"/>
        <v>0</v>
      </c>
      <c r="F23" s="70">
        <f t="shared" si="0"/>
        <v>0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114</v>
      </c>
      <c r="B25" s="41" t="s">
        <v>24</v>
      </c>
      <c r="C25" s="41" t="s">
        <v>114</v>
      </c>
      <c r="D25" s="24"/>
      <c r="E25" s="24"/>
      <c r="F25" s="24"/>
      <c r="G25" s="24"/>
      <c r="H25" s="24"/>
    </row>
    <row r="26" spans="1:8" ht="15.75" customHeight="1" x14ac:dyDescent="0.25">
      <c r="B26" s="24" t="s">
        <v>115</v>
      </c>
      <c r="C26" s="75"/>
    </row>
    <row r="27" spans="1:8" ht="15.75" customHeight="1" x14ac:dyDescent="0.25">
      <c r="B27" s="24" t="s">
        <v>116</v>
      </c>
      <c r="C27" s="75"/>
    </row>
    <row r="28" spans="1:8" ht="15.75" customHeight="1" x14ac:dyDescent="0.25">
      <c r="B28" s="24" t="s">
        <v>117</v>
      </c>
      <c r="C28" s="75"/>
    </row>
    <row r="29" spans="1:8" ht="15.75" customHeight="1" x14ac:dyDescent="0.25">
      <c r="B29" s="24" t="s">
        <v>118</v>
      </c>
      <c r="C29" s="75"/>
    </row>
    <row r="30" spans="1:8" ht="15.75" customHeight="1" x14ac:dyDescent="0.25">
      <c r="B30" s="24" t="s">
        <v>1</v>
      </c>
      <c r="C30" s="75"/>
    </row>
    <row r="31" spans="1:8" ht="15.75" customHeight="1" x14ac:dyDescent="0.25">
      <c r="B31" s="24" t="s">
        <v>119</v>
      </c>
      <c r="C31" s="75"/>
    </row>
    <row r="32" spans="1:8" ht="15.75" customHeight="1" x14ac:dyDescent="0.25">
      <c r="B32" s="24" t="s">
        <v>120</v>
      </c>
      <c r="C32" s="75"/>
    </row>
    <row r="33" spans="2:3" ht="15.75" customHeight="1" x14ac:dyDescent="0.25">
      <c r="B33" s="24" t="s">
        <v>121</v>
      </c>
      <c r="C33" s="75"/>
    </row>
    <row r="34" spans="2:3" ht="15.75" customHeight="1" x14ac:dyDescent="0.25">
      <c r="B34" s="24" t="s">
        <v>122</v>
      </c>
      <c r="C34" s="75"/>
    </row>
    <row r="35" spans="2:3" ht="15.75" customHeight="1" x14ac:dyDescent="0.25">
      <c r="B35" s="32" t="s">
        <v>57</v>
      </c>
      <c r="C35" s="70">
        <f>SUM(C26:C34)</f>
        <v>0</v>
      </c>
    </row>
  </sheetData>
  <sheetProtection algorithmName="SHA-512" hashValue="uMQAJENAbiLW9dl0bHRj/YwGhQXlswMoQVqP+pf1O3s+USBzgSwkVUuuiunUgTfpOeY87A/1dSVScxjnyLDftA==" saltValue="MZLIIJhb6/zfsUs50d8+8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124</v>
      </c>
      <c r="C1" s="16" t="s">
        <v>123</v>
      </c>
      <c r="D1" s="16" t="s">
        <v>110</v>
      </c>
      <c r="E1" s="16" t="s">
        <v>111</v>
      </c>
      <c r="F1" s="16" t="s">
        <v>112</v>
      </c>
      <c r="G1" s="16" t="s">
        <v>113</v>
      </c>
    </row>
    <row r="2" spans="1:15" ht="15.75" customHeight="1" x14ac:dyDescent="0.25">
      <c r="A2" s="6" t="s">
        <v>125</v>
      </c>
      <c r="B2" s="11" t="s">
        <v>126</v>
      </c>
      <c r="C2" s="76" t="str">
        <f>IFERROR(1-_xlfn.NORM.DIST(_xlfn.NORM.INV(SUM(C4:C5), 0, 1) + 1, 0, 1, TRUE), "")</f>
        <v/>
      </c>
      <c r="D2" s="76" t="str">
        <f>IFERROR(1-_xlfn.NORM.DIST(_xlfn.NORM.INV(SUM(D4:D5), 0, 1) + 1, 0, 1, TRUE), "")</f>
        <v/>
      </c>
      <c r="E2" s="76" t="str">
        <f>IFERROR(1-_xlfn.NORM.DIST(_xlfn.NORM.INV(SUM(E4:E5), 0, 1) + 1, 0, 1, TRUE), "")</f>
        <v/>
      </c>
      <c r="F2" s="76" t="str">
        <f>IFERROR(1-_xlfn.NORM.DIST(_xlfn.NORM.INV(SUM(F4:F5), 0, 1) + 1, 0, 1, TRUE), "")</f>
        <v/>
      </c>
      <c r="G2" s="76" t="str">
        <f>IFERROR(1-_xlfn.NORM.DIST(_xlfn.NORM.INV(SUM(G4:G5), 0, 1) + 1, 0, 1, TRUE), "")</f>
        <v/>
      </c>
    </row>
    <row r="3" spans="1:15" ht="15.75" customHeight="1" x14ac:dyDescent="0.25">
      <c r="A3" s="5"/>
      <c r="B3" s="11" t="s">
        <v>127</v>
      </c>
      <c r="C3" s="76" t="str">
        <f>IFERROR(_xlfn.NORM.DIST(_xlfn.NORM.INV(SUM(C4:C5), 0, 1) + 1, 0, 1, TRUE) - SUM(C4:C5), "")</f>
        <v/>
      </c>
      <c r="D3" s="76" t="str">
        <f>IFERROR(_xlfn.NORM.DIST(_xlfn.NORM.INV(SUM(D4:D5), 0, 1) + 1, 0, 1, TRUE) - SUM(D4:D5), "")</f>
        <v/>
      </c>
      <c r="E3" s="76" t="str">
        <f>IFERROR(_xlfn.NORM.DIST(_xlfn.NORM.INV(SUM(E4:E5), 0, 1) + 1, 0, 1, TRUE) - SUM(E4:E5), "")</f>
        <v/>
      </c>
      <c r="F3" s="76" t="str">
        <f>IFERROR(_xlfn.NORM.DIST(_xlfn.NORM.INV(SUM(F4:F5), 0, 1) + 1, 0, 1, TRUE) - SUM(F4:F5), "")</f>
        <v/>
      </c>
      <c r="G3" s="76" t="str">
        <f>IFERROR(_xlfn.NORM.DIST(_xlfn.NORM.INV(SUM(G4:G5), 0, 1) + 1, 0, 1, TRUE) - SUM(G4:G5), "")</f>
        <v/>
      </c>
    </row>
    <row r="4" spans="1:15" ht="15.75" customHeight="1" x14ac:dyDescent="0.25">
      <c r="A4" s="5"/>
      <c r="B4" s="11" t="s">
        <v>128</v>
      </c>
      <c r="C4" s="77"/>
      <c r="D4" s="77"/>
      <c r="E4" s="77"/>
      <c r="F4" s="77"/>
      <c r="G4" s="77"/>
    </row>
    <row r="5" spans="1:15" ht="15.75" customHeight="1" x14ac:dyDescent="0.25">
      <c r="A5" s="5"/>
      <c r="B5" s="11" t="s">
        <v>129</v>
      </c>
      <c r="C5" s="77"/>
      <c r="D5" s="77"/>
      <c r="E5" s="77"/>
      <c r="F5" s="77"/>
      <c r="G5" s="77"/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130</v>
      </c>
      <c r="B8" s="7" t="s">
        <v>131</v>
      </c>
      <c r="C8" s="76" t="str">
        <f>IFERROR(1-_xlfn.NORM.DIST(_xlfn.NORM.INV(SUM(C10:C11), 0, 1) + 1, 0, 1, TRUE), "")</f>
        <v/>
      </c>
      <c r="D8" s="76" t="str">
        <f>IFERROR(1-_xlfn.NORM.DIST(_xlfn.NORM.INV(SUM(D10:D11), 0, 1) + 1, 0, 1, TRUE), "")</f>
        <v/>
      </c>
      <c r="E8" s="76" t="str">
        <f>IFERROR(1-_xlfn.NORM.DIST(_xlfn.NORM.INV(SUM(E10:E11), 0, 1) + 1, 0, 1, TRUE), "")</f>
        <v/>
      </c>
      <c r="F8" s="76" t="str">
        <f>IFERROR(1-_xlfn.NORM.DIST(_xlfn.NORM.INV(SUM(F10:F11), 0, 1) + 1, 0, 1, TRUE), "")</f>
        <v/>
      </c>
      <c r="G8" s="76" t="str">
        <f>IFERROR(1-_xlfn.NORM.DIST(_xlfn.NORM.INV(SUM(G10:G11), 0, 1) + 1, 0, 1, TRUE), "")</f>
        <v/>
      </c>
    </row>
    <row r="9" spans="1:15" ht="15.75" customHeight="1" x14ac:dyDescent="0.25">
      <c r="B9" s="7" t="s">
        <v>132</v>
      </c>
      <c r="C9" s="76" t="str">
        <f>IFERROR(_xlfn.NORM.DIST(_xlfn.NORM.INV(SUM(C10:C11), 0, 1) + 1, 0, 1, TRUE) - SUM(C10:C11), "")</f>
        <v/>
      </c>
      <c r="D9" s="76" t="str">
        <f>IFERROR(_xlfn.NORM.DIST(_xlfn.NORM.INV(SUM(D10:D11), 0, 1) + 1, 0, 1, TRUE) - SUM(D10:D11), "")</f>
        <v/>
      </c>
      <c r="E9" s="76" t="str">
        <f>IFERROR(_xlfn.NORM.DIST(_xlfn.NORM.INV(SUM(E10:E11), 0, 1) + 1, 0, 1, TRUE) - SUM(E10:E11), "")</f>
        <v/>
      </c>
      <c r="F9" s="76" t="str">
        <f>IFERROR(_xlfn.NORM.DIST(_xlfn.NORM.INV(SUM(F10:F11), 0, 1) + 1, 0, 1, TRUE) - SUM(F10:F11), "")</f>
        <v/>
      </c>
      <c r="G9" s="76" t="str">
        <f>IFERROR(_xlfn.NORM.DIST(_xlfn.NORM.INV(SUM(G10:G11), 0, 1) + 1, 0, 1, TRUE) - SUM(G10:G11), "")</f>
        <v/>
      </c>
    </row>
    <row r="10" spans="1:15" ht="15.75" customHeight="1" x14ac:dyDescent="0.25">
      <c r="B10" s="7" t="s">
        <v>133</v>
      </c>
      <c r="C10" s="77"/>
      <c r="D10" s="77"/>
      <c r="E10" s="77"/>
      <c r="F10" s="77"/>
      <c r="G10" s="77"/>
    </row>
    <row r="11" spans="1:15" ht="15.75" customHeight="1" x14ac:dyDescent="0.25">
      <c r="B11" s="7" t="s">
        <v>134</v>
      </c>
      <c r="C11" s="77"/>
      <c r="D11" s="77"/>
      <c r="E11" s="77"/>
      <c r="F11" s="77"/>
      <c r="G11" s="77"/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135</v>
      </c>
      <c r="C13" s="16" t="s">
        <v>123</v>
      </c>
      <c r="D13" s="16" t="s">
        <v>110</v>
      </c>
      <c r="E13" s="16" t="s">
        <v>111</v>
      </c>
      <c r="F13" s="16" t="s">
        <v>112</v>
      </c>
      <c r="G13" s="16" t="s">
        <v>113</v>
      </c>
      <c r="H13" s="23" t="s">
        <v>136</v>
      </c>
      <c r="I13" s="23" t="s">
        <v>137</v>
      </c>
      <c r="J13" s="23" t="s">
        <v>138</v>
      </c>
      <c r="K13" s="23" t="s">
        <v>139</v>
      </c>
      <c r="L13" s="23" t="s">
        <v>84</v>
      </c>
      <c r="M13" s="23" t="s">
        <v>85</v>
      </c>
      <c r="N13" s="23" t="s">
        <v>86</v>
      </c>
      <c r="O13" s="23" t="s">
        <v>87</v>
      </c>
    </row>
    <row r="14" spans="1:15" ht="15.75" customHeight="1" x14ac:dyDescent="0.25">
      <c r="B14" s="16" t="s">
        <v>140</v>
      </c>
      <c r="C14" s="78"/>
      <c r="D14" s="78"/>
      <c r="E14" s="78"/>
      <c r="F14" s="78"/>
      <c r="G14" s="78"/>
      <c r="H14" s="79"/>
      <c r="I14" s="79"/>
      <c r="J14" s="79"/>
      <c r="K14" s="79"/>
      <c r="L14" s="79"/>
      <c r="M14" s="79"/>
      <c r="N14" s="79"/>
      <c r="O14" s="79"/>
    </row>
    <row r="15" spans="1:15" ht="15.75" customHeight="1" x14ac:dyDescent="0.25">
      <c r="B15" s="16" t="s">
        <v>141</v>
      </c>
      <c r="C15" s="76">
        <f t="shared" ref="C15:O15" si="0">iron_deficiency_anaemia*C14</f>
        <v>0</v>
      </c>
      <c r="D15" s="76">
        <f t="shared" si="0"/>
        <v>0</v>
      </c>
      <c r="E15" s="76">
        <f t="shared" si="0"/>
        <v>0</v>
      </c>
      <c r="F15" s="76">
        <f t="shared" si="0"/>
        <v>0</v>
      </c>
      <c r="G15" s="76">
        <f t="shared" si="0"/>
        <v>0</v>
      </c>
      <c r="H15" s="76">
        <f t="shared" si="0"/>
        <v>0</v>
      </c>
      <c r="I15" s="76">
        <f t="shared" si="0"/>
        <v>0</v>
      </c>
      <c r="J15" s="76">
        <f t="shared" si="0"/>
        <v>0</v>
      </c>
      <c r="K15" s="76">
        <f t="shared" si="0"/>
        <v>0</v>
      </c>
      <c r="L15" s="76">
        <f t="shared" si="0"/>
        <v>0</v>
      </c>
      <c r="M15" s="76">
        <f t="shared" si="0"/>
        <v>0</v>
      </c>
      <c r="N15" s="76">
        <f t="shared" si="0"/>
        <v>0</v>
      </c>
      <c r="O15" s="76">
        <f t="shared" si="0"/>
        <v>0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3OCYl0P2vTg96pw9neog2G7o631mjfKXEGYxppVKchutBhBruUxXRSMYoGAmltA5Vg2RMBdF9gKbMEhjQv8TcQ==" saltValue="P8QHbL6bcSk7tPq0gf6Zaw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124</v>
      </c>
      <c r="C1" s="12" t="s">
        <v>123</v>
      </c>
      <c r="D1" s="12" t="s">
        <v>110</v>
      </c>
      <c r="E1" s="12" t="s">
        <v>111</v>
      </c>
      <c r="F1" s="12" t="s">
        <v>112</v>
      </c>
      <c r="G1" s="12" t="s">
        <v>113</v>
      </c>
    </row>
    <row r="2" spans="1:7" x14ac:dyDescent="0.25">
      <c r="A2" s="3" t="s">
        <v>142</v>
      </c>
      <c r="B2" s="43" t="s">
        <v>143</v>
      </c>
      <c r="C2" s="77"/>
      <c r="D2" s="77"/>
      <c r="E2" s="77"/>
      <c r="F2" s="77"/>
      <c r="G2" s="77"/>
    </row>
    <row r="3" spans="1:7" x14ac:dyDescent="0.25">
      <c r="B3" s="43" t="s">
        <v>144</v>
      </c>
      <c r="C3" s="77"/>
      <c r="D3" s="77"/>
      <c r="E3" s="77"/>
      <c r="F3" s="77"/>
      <c r="G3" s="77"/>
    </row>
    <row r="4" spans="1:7" x14ac:dyDescent="0.25">
      <c r="B4" s="43" t="s">
        <v>145</v>
      </c>
      <c r="C4" s="77"/>
      <c r="D4" s="77"/>
      <c r="E4" s="77"/>
      <c r="F4" s="77"/>
      <c r="G4" s="77"/>
    </row>
    <row r="5" spans="1:7" x14ac:dyDescent="0.25">
      <c r="B5" s="43" t="s">
        <v>146</v>
      </c>
      <c r="C5" s="76">
        <f>1-SUM(C2:C4)</f>
        <v>1</v>
      </c>
      <c r="D5" s="76">
        <f t="shared" ref="D5:G5" si="0">1-SUM(D2:D4)</f>
        <v>1</v>
      </c>
      <c r="E5" s="76">
        <f t="shared" si="0"/>
        <v>1</v>
      </c>
      <c r="F5" s="76">
        <f t="shared" si="0"/>
        <v>1</v>
      </c>
      <c r="G5" s="76">
        <f t="shared" si="0"/>
        <v>1</v>
      </c>
    </row>
  </sheetData>
  <sheetProtection algorithmName="SHA-512" hashValue="CK2Vj8yGBbxojqvgYHd++tuk2oyejY7lloGHzL0eSeEBNyPBRnZRiZ21qRn2zkpmY29doRL6Gz5p4c3Wna9kWA==" saltValue="iw5ZplYN8Wa7vW9/55Kpv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1796875" bestFit="1" customWidth="1"/>
  </cols>
  <sheetData>
    <row r="1" spans="1:16" ht="13" x14ac:dyDescent="0.3">
      <c r="A1" s="4" t="s">
        <v>147</v>
      </c>
      <c r="B1" s="4" t="s">
        <v>3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148</v>
      </c>
      <c r="B2" s="14" t="s">
        <v>157</v>
      </c>
      <c r="C2" s="28">
        <f>(('Dist. de l''état nutritionnel'!C4+'Dist. de l''état nutritionnel'!C5)*(1/60)+('Dist. de l''état nutritionnel'!D4+'Dist. de l''état nutritionnel'!D5)*(5/60)+('Dist. de l''état nutritionnel'!E4+'Dist. de l''état nutritionnel'!E5)*(6/60)+('Dist. de l''état nutritionnel'!F4+'Dist. de l''état nutritionnel'!F5)*(12/60)+('Dist. de l''état nutritionnel'!G4+'Dist. de l''état nutritionnel'!G5)*(36/60))</f>
        <v>0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149</v>
      </c>
      <c r="B4" s="14" t="s">
        <v>157</v>
      </c>
      <c r="C4" s="28">
        <f>(('Dist. de l''état nutritionnel'!C10+'Dist. de l''état nutritionnel'!C11)*(1/60)+('Dist. de l''état nutritionnel'!D10+'Dist. de l''état nutritionnel'!D11)*(5/60)+('Dist. de l''état nutritionnel'!E10+'Dist. de l''état nutritionnel'!E11)*(6/60)+('Dist. de l''état nutritionnel'!F10+'Dist. de l''état nutritionnel'!F11)*(12/60)+('Dist. de l''état nutritionnel'!G10+'Dist. de l''état nutritionnel'!G11)*(36/60))</f>
        <v>0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150</v>
      </c>
      <c r="B6" s="14" t="s">
        <v>157</v>
      </c>
      <c r="C6" s="28">
        <f>'Dist. de l''état nutritionnel'!C15*(1/60)+'Dist. de l''état nutritionnel'!D15*(5/60)+'Dist. de l''état nutritionnel'!E15*(6/60)+'Dist. de l''état nutritionnel'!F15*(12/60)+'Dist. de l''état nutritionnel'!G15*(36/60)</f>
        <v>0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114</v>
      </c>
      <c r="C7" s="28" t="e">
        <f>('Dist. de l''état nutritionnel'!H15*('Projections démographiques'!C2/SUM('Projections démographiques'!C2:F2))+'Dist. de l''état nutritionnel'!I15*('Projections démographiques'!D2/SUM('Projections démographiques'!C2:F2))+'Dist. de l''état nutritionnel'!J15*('Projections démographiques'!E2/SUM('Projections démographiques'!C2:F2))+'Dist. de l''état nutritionnel'!K15*('Projections démographiques'!F2/SUM('Projections démographiques'!C2:F2)))</f>
        <v>#DIV/0!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151</v>
      </c>
      <c r="C8" s="28" t="e">
        <f>('Dist. de l''état nutritionnel'!L15*('Projections démographiques'!C2/SUM('Projections démographiques'!C2:F2))+'Dist. de l''état nutritionnel'!M15*('Projections démographiques'!D2/SUM('Projections démographiques'!C2:F2))+'Dist. de l''état nutritionnel'!N15*('Projections démographiques'!E2/SUM('Projections démographiques'!C2:F2))+'Dist. de l''état nutritionnel'!O15*('Projections démographiques'!F2/SUM('Projections démographiques'!C2:F2)))</f>
        <v>#DIV/0!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152</v>
      </c>
      <c r="B10" s="16" t="s">
        <v>153</v>
      </c>
      <c r="C10" s="28">
        <f>('Dist. l''allaitement maternel'!C2*(1/6)+'Dist. l''allaitement maternel'!D2*(5/6))</f>
        <v>0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154</v>
      </c>
      <c r="C11" s="28">
        <f>(('Dist. l''allaitement maternel'!E4)*(6/18)+('Dist. l''allaitement maternel'!F4)*(12/18))</f>
        <v>0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59</v>
      </c>
      <c r="B13" s="34" t="s">
        <v>155</v>
      </c>
      <c r="C13" s="28">
        <f>U5_mortality/1000</f>
        <v>0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156</v>
      </c>
      <c r="C14" s="28">
        <f>maternal_mortality/1000</f>
        <v>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sheetProtection algorithmName="SHA-512" hashValue="eJ7+v5wmS9jTPEzZ2sLVOyc4f7/iW3mxkW9HKpGHw7/5dusykcLyj+sFqDFNaJXWH13VMIFGPwA4yHOPSZulkA==" saltValue="tk9QnCRiHxVdT350p9dPF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0" sqref="D10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158</v>
      </c>
      <c r="B1" s="51" t="s">
        <v>159</v>
      </c>
      <c r="C1" s="51" t="s">
        <v>160</v>
      </c>
      <c r="D1" s="51" t="s">
        <v>161</v>
      </c>
      <c r="E1" s="51" t="s">
        <v>162</v>
      </c>
    </row>
    <row r="2" spans="1:5" ht="13" x14ac:dyDescent="0.3">
      <c r="A2" s="49" t="s">
        <v>19</v>
      </c>
      <c r="B2" s="46" t="s">
        <v>114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123</v>
      </c>
      <c r="C3" s="80" t="s">
        <v>21</v>
      </c>
      <c r="D3" s="80"/>
      <c r="E3" s="57" t="str">
        <f>IF(E$7="","",E$7)</f>
        <v/>
      </c>
    </row>
    <row r="4" spans="1:5" x14ac:dyDescent="0.25">
      <c r="A4" s="47"/>
      <c r="B4" s="46" t="s">
        <v>110</v>
      </c>
      <c r="C4" s="80" t="s">
        <v>21</v>
      </c>
      <c r="D4" s="80"/>
      <c r="E4" s="57" t="str">
        <f>IF(E$7="","",E$7)</f>
        <v/>
      </c>
    </row>
    <row r="5" spans="1:5" x14ac:dyDescent="0.25">
      <c r="A5" s="47"/>
      <c r="B5" s="46" t="s">
        <v>111</v>
      </c>
      <c r="C5" s="80" t="s">
        <v>21</v>
      </c>
      <c r="D5" s="80"/>
      <c r="E5" s="57" t="str">
        <f>IF(E$7="","",E$7)</f>
        <v/>
      </c>
    </row>
    <row r="6" spans="1:5" x14ac:dyDescent="0.25">
      <c r="A6" s="47"/>
      <c r="B6" s="46" t="s">
        <v>112</v>
      </c>
      <c r="C6" s="80" t="s">
        <v>21</v>
      </c>
      <c r="D6" s="80"/>
      <c r="E6" s="57" t="str">
        <f>IF(E$7="","",E$7)</f>
        <v/>
      </c>
    </row>
    <row r="7" spans="1:5" x14ac:dyDescent="0.25">
      <c r="A7" s="47"/>
      <c r="B7" s="46" t="s">
        <v>163</v>
      </c>
      <c r="C7" s="45"/>
      <c r="D7" s="44"/>
      <c r="E7" s="80"/>
    </row>
    <row r="9" spans="1:5" ht="13" x14ac:dyDescent="0.3">
      <c r="A9" s="49" t="s">
        <v>22</v>
      </c>
      <c r="B9" s="46" t="s">
        <v>114</v>
      </c>
      <c r="C9" s="80"/>
      <c r="D9" s="80"/>
      <c r="E9" s="57" t="str">
        <f>IF(E$7="","",E$7)</f>
        <v/>
      </c>
    </row>
    <row r="10" spans="1:5" x14ac:dyDescent="0.25">
      <c r="A10" s="47"/>
      <c r="B10" s="46" t="s">
        <v>123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110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111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112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163</v>
      </c>
      <c r="C14" s="45"/>
      <c r="D14" s="44"/>
      <c r="E14" s="80" t="s">
        <v>21</v>
      </c>
    </row>
    <row r="16" spans="1:5" ht="13" x14ac:dyDescent="0.3">
      <c r="A16" s="49" t="s">
        <v>23</v>
      </c>
      <c r="B16" s="46" t="s">
        <v>114</v>
      </c>
      <c r="C16" s="80"/>
      <c r="D16" s="80" t="s">
        <v>21</v>
      </c>
      <c r="E16" s="57" t="str">
        <f>IF(E$7="","",E$7)</f>
        <v/>
      </c>
    </row>
    <row r="17" spans="1:5" x14ac:dyDescent="0.25">
      <c r="A17" s="47"/>
      <c r="B17" s="46" t="s">
        <v>123</v>
      </c>
      <c r="C17" s="80"/>
      <c r="D17" s="80" t="s">
        <v>21</v>
      </c>
      <c r="E17" s="57" t="str">
        <f>IF(E$7="","",E$7)</f>
        <v/>
      </c>
    </row>
    <row r="18" spans="1:5" x14ac:dyDescent="0.25">
      <c r="A18" s="47"/>
      <c r="B18" s="46" t="s">
        <v>110</v>
      </c>
      <c r="C18" s="80"/>
      <c r="D18" s="80" t="s">
        <v>21</v>
      </c>
      <c r="E18" s="57" t="str">
        <f>IF(E$7="","",E$7)</f>
        <v/>
      </c>
    </row>
    <row r="19" spans="1:5" x14ac:dyDescent="0.25">
      <c r="A19" s="47"/>
      <c r="B19" s="46" t="s">
        <v>111</v>
      </c>
      <c r="C19" s="80"/>
      <c r="D19" s="80" t="s">
        <v>21</v>
      </c>
      <c r="E19" s="57" t="str">
        <f>IF(E$7="","",E$7)</f>
        <v/>
      </c>
    </row>
    <row r="20" spans="1:5" x14ac:dyDescent="0.25">
      <c r="A20" s="47"/>
      <c r="B20" s="46" t="s">
        <v>112</v>
      </c>
      <c r="C20" s="80"/>
      <c r="D20" s="80" t="s">
        <v>21</v>
      </c>
      <c r="E20" s="57" t="str">
        <f>IF(E$7="","",E$7)</f>
        <v/>
      </c>
    </row>
    <row r="21" spans="1:5" x14ac:dyDescent="0.25">
      <c r="A21" s="47"/>
      <c r="B21" s="46" t="s">
        <v>163</v>
      </c>
      <c r="C21" s="45"/>
      <c r="D21" s="44"/>
      <c r="E21" s="80"/>
    </row>
  </sheetData>
  <sheetProtection algorithmName="SHA-512" hashValue="aKlmYcOVo/1qPz/3qpHeJ0L4QN2KYSZCKqpH+HoHOwYjLn9ljaOmcpKLNliLOWX96Rpuiugm629+5ly+ry+srw==" saltValue="mhj7agXk+Li4kZ3Cszp2V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17</v>
      </c>
      <c r="B1" s="51" t="s">
        <v>166</v>
      </c>
      <c r="C1" s="61" t="s">
        <v>20</v>
      </c>
      <c r="D1" s="61" t="s">
        <v>167</v>
      </c>
    </row>
    <row r="2" spans="1:4" ht="13" x14ac:dyDescent="0.3">
      <c r="A2" s="61" t="s">
        <v>164</v>
      </c>
      <c r="B2" s="46" t="s">
        <v>165</v>
      </c>
      <c r="C2" s="46" t="s">
        <v>169</v>
      </c>
      <c r="D2" s="80"/>
    </row>
    <row r="3" spans="1:4" ht="13" x14ac:dyDescent="0.3">
      <c r="A3" s="61" t="s">
        <v>168</v>
      </c>
      <c r="B3" s="46" t="s">
        <v>160</v>
      </c>
      <c r="C3" s="46" t="s">
        <v>161</v>
      </c>
      <c r="D3" s="80"/>
    </row>
  </sheetData>
  <sheetProtection algorithmName="SHA-512" hashValue="zUQ9AF5px7oUjnIL7/CF1dXQHhZFkfdJ5EGEFBjczC9Z9e1OIeei0ngBzDxVvYMh8o/LD5sb9UPeEA+OVgC9Iw==" saltValue="ITiVfncy74W7tYD7Fkr2FA==" spinCount="100000" sheet="1" objects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4" sqref="D4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164</v>
      </c>
      <c r="B1" s="62" t="str">
        <f>"Baseline ("&amp;start_year&amp;") coverage"</f>
        <v>Baseline (2017) coverage</v>
      </c>
      <c r="C1" s="53" t="s">
        <v>170</v>
      </c>
      <c r="D1" s="53" t="s">
        <v>205</v>
      </c>
      <c r="E1" s="53" t="s">
        <v>171</v>
      </c>
    </row>
    <row r="2" spans="1:5" ht="15.75" customHeight="1" x14ac:dyDescent="0.25">
      <c r="A2" s="52" t="s">
        <v>172</v>
      </c>
      <c r="B2" s="81">
        <v>0</v>
      </c>
      <c r="C2" s="81">
        <v>0.95</v>
      </c>
      <c r="D2" s="137">
        <v>25</v>
      </c>
      <c r="E2" s="82" t="s">
        <v>204</v>
      </c>
    </row>
    <row r="3" spans="1:5" ht="15.75" customHeight="1" x14ac:dyDescent="0.25">
      <c r="A3" s="52" t="s">
        <v>173</v>
      </c>
      <c r="B3" s="81">
        <v>0</v>
      </c>
      <c r="C3" s="81">
        <v>0.95</v>
      </c>
      <c r="D3" s="137">
        <v>1</v>
      </c>
      <c r="E3" s="82" t="s">
        <v>204</v>
      </c>
    </row>
    <row r="4" spans="1:5" ht="15.75" customHeight="1" x14ac:dyDescent="0.25">
      <c r="A4" s="52" t="s">
        <v>174</v>
      </c>
      <c r="B4" s="81">
        <v>0</v>
      </c>
      <c r="C4" s="81">
        <v>0.95</v>
      </c>
      <c r="D4" s="137">
        <v>90</v>
      </c>
      <c r="E4" s="82" t="s">
        <v>204</v>
      </c>
    </row>
    <row r="5" spans="1:5" ht="15.75" customHeight="1" x14ac:dyDescent="0.25">
      <c r="A5" s="52" t="s">
        <v>175</v>
      </c>
      <c r="B5" s="81">
        <v>0</v>
      </c>
      <c r="C5" s="81">
        <v>0.95</v>
      </c>
      <c r="D5" s="137">
        <v>1</v>
      </c>
      <c r="E5" s="82" t="s">
        <v>204</v>
      </c>
    </row>
    <row r="6" spans="1:5" ht="15.75" customHeight="1" x14ac:dyDescent="0.25">
      <c r="A6" s="52" t="s">
        <v>176</v>
      </c>
      <c r="B6" s="81">
        <v>0</v>
      </c>
      <c r="C6" s="81">
        <v>0.95</v>
      </c>
      <c r="D6" s="137">
        <v>0.82</v>
      </c>
      <c r="E6" s="82" t="s">
        <v>204</v>
      </c>
    </row>
    <row r="7" spans="1:5" ht="15.75" customHeight="1" x14ac:dyDescent="0.25">
      <c r="A7" s="52" t="s">
        <v>177</v>
      </c>
      <c r="B7" s="81">
        <v>0</v>
      </c>
      <c r="C7" s="81">
        <v>0.95</v>
      </c>
      <c r="D7" s="137">
        <v>0.25</v>
      </c>
      <c r="E7" s="82" t="s">
        <v>204</v>
      </c>
    </row>
    <row r="8" spans="1:5" ht="15.75" customHeight="1" x14ac:dyDescent="0.25">
      <c r="A8" s="52" t="s">
        <v>178</v>
      </c>
      <c r="B8" s="81">
        <v>0</v>
      </c>
      <c r="C8" s="81">
        <v>0.95</v>
      </c>
      <c r="D8" s="137">
        <v>0.75</v>
      </c>
      <c r="E8" s="82" t="s">
        <v>204</v>
      </c>
    </row>
    <row r="9" spans="1:5" ht="15.75" customHeight="1" x14ac:dyDescent="0.25">
      <c r="A9" s="52" t="s">
        <v>179</v>
      </c>
      <c r="B9" s="81">
        <v>0</v>
      </c>
      <c r="C9" s="81">
        <v>0.95</v>
      </c>
      <c r="D9" s="137">
        <v>0.19</v>
      </c>
      <c r="E9" s="82" t="s">
        <v>204</v>
      </c>
    </row>
    <row r="10" spans="1:5" ht="15.75" customHeight="1" x14ac:dyDescent="0.25">
      <c r="A10" s="59" t="s">
        <v>180</v>
      </c>
      <c r="B10" s="81">
        <v>0</v>
      </c>
      <c r="C10" s="81">
        <v>0.95</v>
      </c>
      <c r="D10" s="137">
        <v>0.73</v>
      </c>
      <c r="E10" s="82" t="s">
        <v>204</v>
      </c>
    </row>
    <row r="11" spans="1:5" ht="15.75" customHeight="1" x14ac:dyDescent="0.25">
      <c r="A11" s="59" t="s">
        <v>181</v>
      </c>
      <c r="B11" s="81">
        <v>0</v>
      </c>
      <c r="C11" s="81">
        <v>0.95</v>
      </c>
      <c r="D11" s="137">
        <v>1.78</v>
      </c>
      <c r="E11" s="82" t="s">
        <v>204</v>
      </c>
    </row>
    <row r="12" spans="1:5" ht="15.75" customHeight="1" x14ac:dyDescent="0.25">
      <c r="A12" s="59" t="s">
        <v>182</v>
      </c>
      <c r="B12" s="81">
        <v>0</v>
      </c>
      <c r="C12" s="81">
        <v>0.95</v>
      </c>
      <c r="D12" s="137">
        <v>0.24</v>
      </c>
      <c r="E12" s="82" t="s">
        <v>204</v>
      </c>
    </row>
    <row r="13" spans="1:5" ht="15.75" customHeight="1" x14ac:dyDescent="0.25">
      <c r="A13" s="59" t="s">
        <v>183</v>
      </c>
      <c r="B13" s="81">
        <v>0</v>
      </c>
      <c r="C13" s="81">
        <v>0.95</v>
      </c>
      <c r="D13" s="137">
        <v>0.55000000000000004</v>
      </c>
      <c r="E13" s="82" t="s">
        <v>204</v>
      </c>
    </row>
    <row r="14" spans="1:5" ht="15.75" customHeight="1" x14ac:dyDescent="0.25">
      <c r="A14" s="11" t="s">
        <v>184</v>
      </c>
      <c r="B14" s="81">
        <v>0</v>
      </c>
      <c r="C14" s="81">
        <v>0.95</v>
      </c>
      <c r="D14" s="137">
        <v>0.73</v>
      </c>
      <c r="E14" s="82" t="s">
        <v>204</v>
      </c>
    </row>
    <row r="15" spans="1:5" ht="15.75" customHeight="1" x14ac:dyDescent="0.25">
      <c r="A15" s="11" t="s">
        <v>185</v>
      </c>
      <c r="B15" s="81">
        <v>0</v>
      </c>
      <c r="C15" s="81">
        <v>0.95</v>
      </c>
      <c r="D15" s="137">
        <v>1.78</v>
      </c>
      <c r="E15" s="82" t="s">
        <v>204</v>
      </c>
    </row>
    <row r="16" spans="1:5" ht="15.75" customHeight="1" x14ac:dyDescent="0.25">
      <c r="A16" s="52" t="s">
        <v>2</v>
      </c>
      <c r="B16" s="81">
        <v>0</v>
      </c>
      <c r="C16" s="81">
        <v>0.95</v>
      </c>
      <c r="D16" s="137">
        <v>2.06</v>
      </c>
      <c r="E16" s="82" t="s">
        <v>204</v>
      </c>
    </row>
    <row r="17" spans="1:5" ht="15.75" customHeight="1" x14ac:dyDescent="0.25">
      <c r="A17" s="52" t="s">
        <v>186</v>
      </c>
      <c r="B17" s="81">
        <v>0</v>
      </c>
      <c r="C17" s="81">
        <v>0.95</v>
      </c>
      <c r="D17" s="137">
        <v>0.05</v>
      </c>
      <c r="E17" s="82" t="s">
        <v>204</v>
      </c>
    </row>
    <row r="18" spans="1:5" ht="15.9" customHeight="1" x14ac:dyDescent="0.25">
      <c r="A18" s="52" t="s">
        <v>19</v>
      </c>
      <c r="B18" s="81">
        <v>0</v>
      </c>
      <c r="C18" s="81">
        <v>0.95</v>
      </c>
      <c r="D18" s="137">
        <v>5</v>
      </c>
      <c r="E18" s="82" t="s">
        <v>204</v>
      </c>
    </row>
    <row r="19" spans="1:5" ht="15.75" customHeight="1" x14ac:dyDescent="0.25">
      <c r="A19" s="52" t="s">
        <v>22</v>
      </c>
      <c r="B19" s="81">
        <v>0</v>
      </c>
      <c r="C19" s="81">
        <v>0.95</v>
      </c>
      <c r="D19" s="137">
        <v>5</v>
      </c>
      <c r="E19" s="82" t="s">
        <v>204</v>
      </c>
    </row>
    <row r="20" spans="1:5" ht="15.75" customHeight="1" x14ac:dyDescent="0.25">
      <c r="A20" s="52" t="s">
        <v>23</v>
      </c>
      <c r="B20" s="81">
        <v>0</v>
      </c>
      <c r="C20" s="81">
        <v>0.95</v>
      </c>
      <c r="D20" s="137">
        <v>5</v>
      </c>
      <c r="E20" s="82" t="s">
        <v>204</v>
      </c>
    </row>
    <row r="21" spans="1:5" ht="15.75" customHeight="1" x14ac:dyDescent="0.25">
      <c r="A21" s="52" t="s">
        <v>187</v>
      </c>
      <c r="B21" s="81">
        <v>0</v>
      </c>
      <c r="C21" s="81">
        <v>0.95</v>
      </c>
      <c r="D21" s="137">
        <v>8.84</v>
      </c>
      <c r="E21" s="82" t="s">
        <v>204</v>
      </c>
    </row>
    <row r="22" spans="1:5" ht="15.75" customHeight="1" x14ac:dyDescent="0.25">
      <c r="A22" s="52" t="s">
        <v>188</v>
      </c>
      <c r="B22" s="81">
        <v>0</v>
      </c>
      <c r="C22" s="81">
        <v>0.95</v>
      </c>
      <c r="D22" s="137">
        <v>50</v>
      </c>
      <c r="E22" s="82" t="s">
        <v>204</v>
      </c>
    </row>
    <row r="23" spans="1:5" ht="15.75" customHeight="1" x14ac:dyDescent="0.25">
      <c r="A23" s="52" t="s">
        <v>189</v>
      </c>
      <c r="B23" s="81">
        <v>0</v>
      </c>
      <c r="C23" s="81">
        <v>0.95</v>
      </c>
      <c r="D23" s="137">
        <v>2.61</v>
      </c>
      <c r="E23" s="82" t="s">
        <v>204</v>
      </c>
    </row>
    <row r="24" spans="1:5" ht="15.75" customHeight="1" x14ac:dyDescent="0.25">
      <c r="A24" s="52" t="s">
        <v>190</v>
      </c>
      <c r="B24" s="81">
        <v>0</v>
      </c>
      <c r="C24" s="81">
        <v>0.95</v>
      </c>
      <c r="D24" s="137">
        <v>1</v>
      </c>
      <c r="E24" s="82" t="s">
        <v>204</v>
      </c>
    </row>
    <row r="25" spans="1:5" ht="15.75" customHeight="1" x14ac:dyDescent="0.25">
      <c r="A25" s="52" t="s">
        <v>191</v>
      </c>
      <c r="B25" s="81">
        <v>0</v>
      </c>
      <c r="C25" s="81">
        <v>0.95</v>
      </c>
      <c r="D25" s="137">
        <v>1</v>
      </c>
      <c r="E25" s="82" t="s">
        <v>204</v>
      </c>
    </row>
    <row r="26" spans="1:5" ht="15.75" customHeight="1" x14ac:dyDescent="0.25">
      <c r="A26" s="52" t="s">
        <v>192</v>
      </c>
      <c r="B26" s="81">
        <v>0</v>
      </c>
      <c r="C26" s="81">
        <v>0.95</v>
      </c>
      <c r="D26" s="137">
        <v>4.6500000000000004</v>
      </c>
      <c r="E26" s="82" t="s">
        <v>204</v>
      </c>
    </row>
    <row r="27" spans="1:5" ht="15.75" customHeight="1" x14ac:dyDescent="0.25">
      <c r="A27" s="52" t="s">
        <v>193</v>
      </c>
      <c r="B27" s="81">
        <v>0</v>
      </c>
      <c r="C27" s="81">
        <v>0.95</v>
      </c>
      <c r="D27" s="137">
        <v>3.78</v>
      </c>
      <c r="E27" s="82" t="s">
        <v>204</v>
      </c>
    </row>
    <row r="28" spans="1:5" ht="15.75" customHeight="1" x14ac:dyDescent="0.25">
      <c r="A28" s="52" t="s">
        <v>194</v>
      </c>
      <c r="B28" s="81">
        <v>0</v>
      </c>
      <c r="C28" s="81">
        <v>0.95</v>
      </c>
      <c r="D28" s="137">
        <v>1</v>
      </c>
      <c r="E28" s="82" t="s">
        <v>204</v>
      </c>
    </row>
    <row r="29" spans="1:5" ht="15.75" customHeight="1" x14ac:dyDescent="0.25">
      <c r="A29" s="52" t="s">
        <v>195</v>
      </c>
      <c r="B29" s="81">
        <v>0</v>
      </c>
      <c r="C29" s="81">
        <v>0.95</v>
      </c>
      <c r="D29" s="137">
        <v>48</v>
      </c>
      <c r="E29" s="82" t="s">
        <v>204</v>
      </c>
    </row>
    <row r="30" spans="1:5" ht="15.75" customHeight="1" x14ac:dyDescent="0.25">
      <c r="A30" s="52" t="s">
        <v>165</v>
      </c>
      <c r="B30" s="81">
        <v>0</v>
      </c>
      <c r="C30" s="81">
        <v>0.95</v>
      </c>
      <c r="D30" s="137">
        <v>5.3</v>
      </c>
      <c r="E30" s="82" t="s">
        <v>204</v>
      </c>
    </row>
    <row r="31" spans="1:5" ht="15.75" customHeight="1" x14ac:dyDescent="0.25">
      <c r="A31" s="52" t="s">
        <v>196</v>
      </c>
      <c r="B31" s="81">
        <v>0</v>
      </c>
      <c r="C31" s="81">
        <v>0.95</v>
      </c>
      <c r="D31" s="137">
        <v>0.41</v>
      </c>
      <c r="E31" s="82" t="s">
        <v>204</v>
      </c>
    </row>
    <row r="32" spans="1:5" ht="15.75" customHeight="1" x14ac:dyDescent="0.25">
      <c r="A32" s="52" t="s">
        <v>197</v>
      </c>
      <c r="B32" s="81">
        <v>0</v>
      </c>
      <c r="C32" s="81">
        <v>0.95</v>
      </c>
      <c r="D32" s="137">
        <v>0.9</v>
      </c>
      <c r="E32" s="82" t="s">
        <v>204</v>
      </c>
    </row>
    <row r="33" spans="1:6" ht="15.75" customHeight="1" x14ac:dyDescent="0.25">
      <c r="A33" s="52" t="s">
        <v>198</v>
      </c>
      <c r="B33" s="81">
        <v>0</v>
      </c>
      <c r="C33" s="81">
        <v>0.95</v>
      </c>
      <c r="D33" s="137">
        <v>0.9</v>
      </c>
      <c r="E33" s="82" t="s">
        <v>204</v>
      </c>
    </row>
    <row r="34" spans="1:6" ht="15.75" customHeight="1" x14ac:dyDescent="0.25">
      <c r="A34" s="52" t="s">
        <v>199</v>
      </c>
      <c r="B34" s="81">
        <v>0</v>
      </c>
      <c r="C34" s="81">
        <v>0.95</v>
      </c>
      <c r="D34" s="137">
        <v>79</v>
      </c>
      <c r="E34" s="82" t="s">
        <v>204</v>
      </c>
    </row>
    <row r="35" spans="1:6" ht="15.75" customHeight="1" x14ac:dyDescent="0.25">
      <c r="A35" s="52" t="s">
        <v>200</v>
      </c>
      <c r="B35" s="81">
        <v>0</v>
      </c>
      <c r="C35" s="81">
        <v>0.95</v>
      </c>
      <c r="D35" s="137">
        <v>31</v>
      </c>
      <c r="E35" s="82" t="s">
        <v>204</v>
      </c>
    </row>
    <row r="36" spans="1:6" s="36" customFormat="1" ht="15.75" customHeight="1" x14ac:dyDescent="0.25">
      <c r="A36" s="52" t="s">
        <v>201</v>
      </c>
      <c r="B36" s="81">
        <v>0</v>
      </c>
      <c r="C36" s="81">
        <v>0.95</v>
      </c>
      <c r="D36" s="137">
        <v>102</v>
      </c>
      <c r="E36" s="82" t="s">
        <v>204</v>
      </c>
      <c r="F36" s="35"/>
    </row>
    <row r="37" spans="1:6" ht="15.75" customHeight="1" x14ac:dyDescent="0.25">
      <c r="A37" s="52" t="s">
        <v>202</v>
      </c>
      <c r="B37" s="81">
        <v>0</v>
      </c>
      <c r="C37" s="81">
        <v>0.95</v>
      </c>
      <c r="D37" s="137">
        <v>5.53</v>
      </c>
      <c r="E37" s="82" t="s">
        <v>204</v>
      </c>
    </row>
    <row r="38" spans="1:6" ht="15.75" customHeight="1" x14ac:dyDescent="0.25">
      <c r="A38" s="52" t="s">
        <v>203</v>
      </c>
      <c r="B38" s="81">
        <v>0</v>
      </c>
      <c r="C38" s="81">
        <v>0.95</v>
      </c>
      <c r="D38" s="137">
        <v>1</v>
      </c>
      <c r="E38" s="82" t="s">
        <v>204</v>
      </c>
    </row>
    <row r="39" spans="1:6" ht="15.75" customHeight="1" x14ac:dyDescent="0.25">
      <c r="F39" s="36"/>
    </row>
  </sheetData>
  <sheetProtection algorithmName="SHA-512" hashValue="Bs/lKTLOLrMDW3FazdUJxiZU7JcN3Ly7kkZgUaj5N6DUs3ZTM2jr1A0ywZ2RnZD1FHR52btDWMv/l6UxsnYRQA==" saltValue="PysgsCl7spcED341M6gSdQ==" spinCount="100000" sheet="1" objects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Paquets IYCF</vt:lpstr>
      <vt:lpstr>Traitement de la MAS</vt:lpstr>
      <vt:lpstr>Coût et couverture du programme</vt:lpstr>
      <vt:lpstr>Programmes de référence</vt:lpstr>
      <vt:lpstr>Incidence of conditions</vt:lpstr>
      <vt:lpstr>Dépendances du programme</vt:lpstr>
      <vt:lpstr>Population cible programmes</vt:lpstr>
      <vt:lpstr>Cost curve options</vt:lpstr>
      <vt:lpstr>Programs family planning</vt:lpstr>
      <vt:lpstr>Programmes population touchée</vt:lpstr>
      <vt:lpstr>Programme régions à risque</vt:lpstr>
      <vt:lpstr>Population des régions à risque</vt:lpstr>
      <vt:lpstr>Rapport des cotes IYCF</vt:lpstr>
      <vt:lpstr>Risques des rés. des naissances</vt:lpstr>
      <vt:lpstr>Risques relatifs</vt:lpstr>
      <vt:lpstr>Rapports des cotes</vt:lpstr>
      <vt:lpstr>Programmes-rés. des naissances</vt:lpstr>
      <vt:lpstr>Programs anemia</vt:lpstr>
      <vt:lpstr>Programmes-amaigrissement</vt:lpstr>
      <vt:lpstr>Programmes pour les enfants</vt:lpstr>
      <vt:lpstr>Programmes pour les FE</vt:lpstr>
      <vt:lpstr>'Paquets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Altermatt</dc:creator>
  <cp:keywords>lang=fr</cp:keywords>
  <cp:lastModifiedBy>Aimee Altermatt</cp:lastModifiedBy>
  <dcterms:created xsi:type="dcterms:W3CDTF">2017-08-01T10:42:13Z</dcterms:created>
  <dcterms:modified xsi:type="dcterms:W3CDTF">2021-10-29T06:05:44Z</dcterms:modified>
</cp:coreProperties>
</file>