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6180" yWindow="-21135" windowWidth="19200" windowHeight="11760" tabRatio="961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r:id="rId13"/>
    <sheet name="Incidence of conditions" sheetId="7" r:id="rId14"/>
    <sheet name="Programs target population" sheetId="21" r:id="rId15"/>
    <sheet name="Programs family planning" sheetId="54" r:id="rId16"/>
  </sheets>
  <definedNames>
    <definedName name="abortion" localSheetId="7">'Baseline year population inputs'!$C$30</definedName>
    <definedName name="abortion">'Baseline year population inputs'!$C$33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inputs'!$C$50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inputs'!$C$52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inputs'!$C$53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inputs'!$C$30</definedName>
    <definedName name="iron_deficiency_anaemia">'Baseline year population inputs'!$C$51</definedName>
    <definedName name="manage_mam">'Treatment of SAM'!$D$2</definedName>
    <definedName name="maternal_mortality">'Baseline year population inputs'!$C$32</definedName>
    <definedName name="neonatal_mortality">'Baseline year population inputs'!$C$29</definedName>
    <definedName name="Percentage_of_pregnant_women_attending_health_facility">'Baseline year population inputs'!$C$10</definedName>
    <definedName name="preterm_AGA">'Baseline year population inputs'!$C$38</definedName>
    <definedName name="preterm_SGA">'Baseline year population inputs'!$C$37</definedName>
    <definedName name="school_attendance">'Baseline year population inputs'!$C$9</definedName>
    <definedName name="start_year">'Baseline year population inputs'!$C$3</definedName>
    <definedName name="stillbirth" localSheetId="7">'Baseline year population inputs'!$C$31</definedName>
    <definedName name="stillbirth">'Baseline year population inputs'!$C$34</definedName>
    <definedName name="term_AGA">'Baseline year population inputs'!$C$40</definedName>
    <definedName name="term_SGA">'Baseline year population inputs'!$C$39</definedName>
    <definedName name="U5_mortality">'Baseline year population inputs'!$C$31</definedName>
  </definedNames>
  <calcPr calcId="145621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42" l="1"/>
  <c r="A1" i="50"/>
  <c r="A1" i="5"/>
  <c r="A1" i="4"/>
  <c r="B1" i="56"/>
  <c r="D6" i="57" l="1"/>
  <c r="C6" i="57"/>
  <c r="D5" i="57"/>
  <c r="C5" i="57"/>
  <c r="D4" i="57"/>
  <c r="C4" i="57"/>
  <c r="D3" i="57"/>
  <c r="C3" i="57"/>
  <c r="C2" i="57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J24" i="2" s="1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J32" i="2" s="1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9" i="2" l="1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6" i="21"/>
  <c r="J16" i="21"/>
  <c r="K16" i="21"/>
  <c r="H16" i="21"/>
  <c r="K15" i="21"/>
  <c r="J15" i="21"/>
  <c r="I15" i="21"/>
  <c r="H15" i="21"/>
  <c r="E8" i="21" l="1"/>
  <c r="F8" i="21"/>
  <c r="G8" i="21"/>
  <c r="D8" i="21"/>
  <c r="I20" i="21" l="1"/>
  <c r="J20" i="21"/>
  <c r="K20" i="21"/>
  <c r="H20" i="21"/>
  <c r="F5" i="21"/>
  <c r="G5" i="21"/>
  <c r="E5" i="21"/>
  <c r="F4" i="21"/>
  <c r="E4" i="21"/>
  <c r="N25" i="21"/>
  <c r="O25" i="21"/>
  <c r="M25" i="21"/>
  <c r="N24" i="21"/>
  <c r="O24" i="21"/>
  <c r="M24" i="21"/>
  <c r="N23" i="21"/>
  <c r="O23" i="21"/>
  <c r="M23" i="21"/>
  <c r="L26" i="21"/>
  <c r="L25" i="21"/>
  <c r="L23" i="21"/>
  <c r="L24" i="21"/>
  <c r="E2" i="55" l="1"/>
  <c r="E3" i="55"/>
  <c r="E4" i="55"/>
  <c r="E5" i="55"/>
  <c r="E6" i="55"/>
  <c r="D4" i="56" l="1"/>
  <c r="D5" i="56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4" i="56" l="1"/>
  <c r="E2" i="54"/>
  <c r="E3" i="54"/>
  <c r="E4" i="54"/>
  <c r="E5" i="54"/>
  <c r="E6" i="54"/>
  <c r="E7" i="54"/>
  <c r="E8" i="54"/>
  <c r="E9" i="54"/>
  <c r="E10" i="54"/>
  <c r="C32" i="21" l="1"/>
  <c r="O28" i="21" l="1"/>
  <c r="N28" i="21"/>
  <c r="M28" i="21"/>
  <c r="L28" i="21"/>
  <c r="K28" i="21"/>
  <c r="J28" i="21"/>
  <c r="I28" i="21"/>
  <c r="H28" i="21"/>
  <c r="G28" i="21"/>
  <c r="F28" i="21"/>
  <c r="E28" i="21"/>
  <c r="O30" i="21"/>
  <c r="N30" i="21"/>
  <c r="M30" i="21"/>
  <c r="L30" i="21"/>
  <c r="K30" i="21"/>
  <c r="J30" i="21"/>
  <c r="I30" i="21"/>
  <c r="H30" i="21"/>
  <c r="G30" i="21"/>
  <c r="F30" i="21"/>
  <c r="E30" i="21"/>
  <c r="O29" i="21"/>
  <c r="N29" i="21"/>
  <c r="M29" i="21"/>
  <c r="L29" i="21"/>
  <c r="K29" i="21"/>
  <c r="J29" i="21"/>
  <c r="I29" i="21"/>
  <c r="H29" i="21"/>
  <c r="G29" i="21"/>
  <c r="F29" i="21"/>
  <c r="E29" i="21"/>
  <c r="K13" i="21"/>
  <c r="J13" i="21"/>
  <c r="I13" i="21"/>
  <c r="H13" i="21"/>
  <c r="G2" i="21"/>
  <c r="F2" i="21"/>
  <c r="E2" i="21"/>
  <c r="D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K17" i="21"/>
  <c r="J17" i="21"/>
  <c r="I17" i="21"/>
  <c r="H17" i="21"/>
  <c r="F7" i="21"/>
  <c r="E7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40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5" i="56" l="1"/>
</calcChain>
</file>

<file path=xl/comments1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<sst xmlns="http://schemas.openxmlformats.org/spreadsheetml/2006/main" count="336" uniqueCount="216">
  <si>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</si>
  <si>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</si>
  <si>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</si>
  <si>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</si>
  <si>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</si>
  <si>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</si>
  <si>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</si>
  <si>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</si>
  <si>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</si>
  <si>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</si>
  <si>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</si>
  <si>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</si>
  <si>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</si>
  <si>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</si>
  <si>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</si>
  <si>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</si>
  <si>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</si>
  <si>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</si>
  <si>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</si>
  <si>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</si>
  <si>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</si>
  <si>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</si>
  <si>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</si>
  <si>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</si>
  <si>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</si>
  <si>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</si>
  <si>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</si>
  <si>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</si>
  <si>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</si>
  <si>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</si>
  <si>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</si>
  <si>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</si>
  <si>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</si>
  <si>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</si>
  <si>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</si>
  <si>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</si>
  <si>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</si>
  <si>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</si>
  <si>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</si>
  <si>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</si>
  <si>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</si>
  <si>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</si>
  <si>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</si>
  <si>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</si>
  <si>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</si>
  <si>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</si>
  <si>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</si>
  <si>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</si>
  <si>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</si>
  <si>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</si>
  <si>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</si>
  <si>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</si>
  <si>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</si>
  <si>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</si>
  <si>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</si>
  <si>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</si>
  <si>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</si>
  <si>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</si>
  <si>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</si>
  <si>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</si>
  <si>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</si>
  <si>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</si>
  <si>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</si>
  <si>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</si>
  <si>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</si>
  <si>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</si>
  <si>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</si>
  <si>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</si>
  <si>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</si>
  <si>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</si>
  <si>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</si>
  <si>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</si>
  <si>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</si>
  <si>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</si>
  <si>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</si>
  <si>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</si>
  <si>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</si>
  <si>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</si>
  <si>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</si>
  <si>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</si>
  <si>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</si>
  <si>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</si>
  <si>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</si>
  <si>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</si>
  <si>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</si>
  <si>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</si>
  <si>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</si>
  <si>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</si>
  <si>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</si>
  <si>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</si>
  <si>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</si>
  <si>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</si>
  <si>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</si>
  <si>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</si>
  <si>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</si>
  <si>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</si>
  <si>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</si>
  <si>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</si>
  <si>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</si>
  <si>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</si>
  <si>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</si>
  <si>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</si>
  <si>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</si>
  <si>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</si>
  <si>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</si>
  <si>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</si>
  <si>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</si>
  <si>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</si>
  <si>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</si>
  <si>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</si>
  <si>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</si>
  <si>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</si>
  <si>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</si>
  <si>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</si>
  <si>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</si>
  <si>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</si>
  <si>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</si>
  <si>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</si>
  <si>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</si>
  <si>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</si>
  <si>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</si>
  <si>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</si>
  <si>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</si>
  <si>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</si>
  <si>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</si>
  <si>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</si>
  <si>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</si>
  <si>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</si>
  <si>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</si>
  <si>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</si>
  <si>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</si>
  <si>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</si>
  <si>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</si>
  <si>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</si>
  <si>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</si>
  <si>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</si>
  <si>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</si>
  <si>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</si>
  <si>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</si>
  <si>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</si>
  <si>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</si>
  <si>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</si>
  <si>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</si>
  <si>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</si>
  <si>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</si>
  <si>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</si>
  <si>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</si>
  <si>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</si>
  <si>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</si>
  <si>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</si>
  <si>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</si>
  <si>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</si>
  <si>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</si>
  <si>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</si>
  <si>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</si>
  <si>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</si>
  <si>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</si>
  <si>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</si>
  <si>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</si>
  <si>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</si>
  <si>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</si>
  <si>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</si>
  <si>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</si>
  <si>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</si>
  <si>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</si>
  <si>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</si>
  <si>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</si>
  <si>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</si>
  <si>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</si>
  <si>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</si>
  <si>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</si>
  <si>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</si>
  <si>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</si>
  <si>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</si>
  <si>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</si>
  <si>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</si>
  <si>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</si>
  <si>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</si>
  <si>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</si>
  <si>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</si>
  <si>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</si>
  <si>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</si>
  <si>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</si>
  <si>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</si>
  <si>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</si>
  <si>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</si>
  <si>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</si>
  <si>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</si>
  <si>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</si>
  <si>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</si>
  <si>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</si>
  <si>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</si>
  <si>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</si>
  <si>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</si>
  <si>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</si>
  <si>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unit cost</t>
  </si>
  <si>
    <t>saturation coverage of target population</t>
  </si>
  <si>
    <t>Unit costs by delivery modality and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</si>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</sst>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16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xmlns="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57"/>
  <sheetViews>
    <sheetView tabSelected="1" zoomScaleNormal="100" workbookViewId="0">
      <selection activeCell="B52" sqref="B52"/>
    </sheetView>
  </sheetViews>
  <sheetFormatPr defaultColWidth="14.42578125" defaultRowHeight="15.75" customHeight="1" x14ac:dyDescent="0.2"/>
  <cols>
    <col min="1" max="1" width="27.7109375" style="15" customWidth="1"/>
    <col min="2" max="2" width="38.7109375" style="19" customWidth="1"/>
    <col min="3" max="16384" width="14.42578125" style="15"/>
  </cols>
  <sheetData>
    <row r="1" spans="1:3" ht="15.95" customHeight="1" x14ac:dyDescent="0.2">
      <c r="A1" s="1" t="s">
        <v>111</v>
      </c>
      <c r="B1" s="62" t="s">
        <v>180</v>
      </c>
      <c r="C1" s="62" t="s">
        <v>181</v>
      </c>
    </row>
    <row r="2" spans="1:3" ht="15.95" customHeight="1" x14ac:dyDescent="0.2">
      <c r="A2" s="15" t="s">
        <v>212</v>
      </c>
      <c r="B2" s="62"/>
      <c r="C2" s="62"/>
    </row>
    <row r="3" spans="1:3" ht="15.95" customHeight="1" x14ac:dyDescent="0.2">
      <c r="A3" s="1"/>
      <c r="B3" s="9" t="s">
        <v>214</v>
      </c>
      <c r="C3" s="96">
        <v>2017</v>
      </c>
    </row>
    <row r="4" spans="1:3" ht="15.95" customHeight="1" x14ac:dyDescent="0.2">
      <c r="A4" s="1"/>
      <c r="B4" s="12" t="s">
        <v>213</v>
      </c>
      <c r="C4" s="97">
        <v>2030</v>
      </c>
    </row>
    <row r="5" spans="1:3" ht="15.95" customHeight="1" x14ac:dyDescent="0.2">
      <c r="A5" s="1"/>
      <c r="B5" s="62"/>
      <c r="C5" s="62"/>
    </row>
    <row r="6" spans="1:3" ht="15" customHeight="1" x14ac:dyDescent="0.2">
      <c r="A6" s="15" t="s">
        <v>48</v>
      </c>
    </row>
    <row r="7" spans="1:3" ht="15" customHeight="1" x14ac:dyDescent="0.2">
      <c r="B7" s="9" t="s">
        <v>117</v>
      </c>
      <c r="C7" s="24">
        <v>0.28199999999999997</v>
      </c>
    </row>
    <row r="8" spans="1:3" ht="15" customHeight="1" x14ac:dyDescent="0.2">
      <c r="B8" s="12" t="s">
        <v>118</v>
      </c>
      <c r="C8" s="23">
        <v>1</v>
      </c>
    </row>
    <row r="9" spans="1:3" ht="15" customHeight="1" x14ac:dyDescent="0.2">
      <c r="B9" s="12" t="s">
        <v>116</v>
      </c>
      <c r="C9" s="23">
        <v>0.23</v>
      </c>
    </row>
    <row r="10" spans="1:3" ht="15" customHeight="1" x14ac:dyDescent="0.2">
      <c r="B10" s="9" t="s">
        <v>119</v>
      </c>
      <c r="C10" s="24">
        <v>0.51</v>
      </c>
    </row>
    <row r="11" spans="1:3" ht="15" customHeight="1" x14ac:dyDescent="0.2">
      <c r="B11" s="9" t="s">
        <v>120</v>
      </c>
      <c r="C11" s="24">
        <v>0.37</v>
      </c>
    </row>
    <row r="12" spans="1:3" ht="15" customHeight="1" x14ac:dyDescent="0.2">
      <c r="B12" s="9" t="s">
        <v>121</v>
      </c>
      <c r="C12" s="24">
        <v>0.221</v>
      </c>
    </row>
    <row r="13" spans="1:3" ht="15" customHeight="1" x14ac:dyDescent="0.2">
      <c r="B13" s="15"/>
    </row>
    <row r="14" spans="1:3" ht="15" customHeight="1" x14ac:dyDescent="0.2">
      <c r="A14" s="15" t="s">
        <v>30</v>
      </c>
      <c r="B14" s="22"/>
      <c r="C14" s="3"/>
    </row>
    <row r="15" spans="1:3" ht="15" customHeight="1" x14ac:dyDescent="0.2">
      <c r="B15" s="12" t="s">
        <v>105</v>
      </c>
      <c r="C15" s="23">
        <v>0.3</v>
      </c>
    </row>
    <row r="16" spans="1:3" ht="15" customHeight="1" x14ac:dyDescent="0.2">
      <c r="B16" s="12" t="s">
        <v>106</v>
      </c>
      <c r="C16" s="23">
        <v>0</v>
      </c>
    </row>
    <row r="17" spans="1:5" ht="15" customHeight="1" x14ac:dyDescent="0.2">
      <c r="B17" s="12" t="s">
        <v>107</v>
      </c>
      <c r="C17" s="23">
        <v>0</v>
      </c>
    </row>
    <row r="18" spans="1:5" ht="15" customHeight="1" x14ac:dyDescent="0.2">
      <c r="B18" s="12" t="s">
        <v>108</v>
      </c>
      <c r="C18" s="23">
        <v>0.8</v>
      </c>
    </row>
    <row r="19" spans="1:5" ht="15" customHeight="1" x14ac:dyDescent="0.2">
      <c r="B19" s="12" t="s">
        <v>109</v>
      </c>
      <c r="C19" s="26">
        <f>1-frac_rice-frac_wheat-frac_maize</f>
        <v>0.19999999999999996</v>
      </c>
    </row>
    <row r="20" spans="1:5" ht="15" customHeight="1" x14ac:dyDescent="0.2">
      <c r="B20" s="15"/>
    </row>
    <row r="21" spans="1:5" ht="15" customHeight="1" x14ac:dyDescent="0.2">
      <c r="A21" s="15" t="s">
        <v>110</v>
      </c>
    </row>
    <row r="22" spans="1:5" ht="15" customHeight="1" x14ac:dyDescent="0.2">
      <c r="B22" s="27" t="s">
        <v>112</v>
      </c>
      <c r="C22" s="23">
        <v>0.127</v>
      </c>
    </row>
    <row r="23" spans="1:5" ht="15" customHeight="1" x14ac:dyDescent="0.2">
      <c r="B23" s="27" t="s">
        <v>113</v>
      </c>
      <c r="C23" s="23">
        <v>0.45200000000000001</v>
      </c>
    </row>
    <row r="24" spans="1:5" ht="15" customHeight="1" x14ac:dyDescent="0.2">
      <c r="B24" s="27" t="s">
        <v>114</v>
      </c>
      <c r="C24" s="23">
        <v>0.33400000000000002</v>
      </c>
    </row>
    <row r="25" spans="1:5" ht="15" customHeight="1" x14ac:dyDescent="0.2">
      <c r="B25" s="27" t="s">
        <v>115</v>
      </c>
      <c r="C25" s="23">
        <v>8.6999999999999994E-2</v>
      </c>
    </row>
    <row r="26" spans="1:5" ht="15" customHeight="1" x14ac:dyDescent="0.2"/>
    <row r="27" spans="1:5" ht="15" customHeight="1" x14ac:dyDescent="0.2">
      <c r="A27" s="4" t="s">
        <v>151</v>
      </c>
    </row>
    <row r="28" spans="1:5" ht="15" customHeight="1" x14ac:dyDescent="0.2">
      <c r="A28" s="15" t="s">
        <v>75</v>
      </c>
      <c r="B28" s="9"/>
      <c r="C28" s="16"/>
    </row>
    <row r="29" spans="1:5" ht="15" customHeight="1" x14ac:dyDescent="0.2">
      <c r="B29" s="64" t="s">
        <v>103</v>
      </c>
      <c r="C29" s="25">
        <v>25</v>
      </c>
    </row>
    <row r="30" spans="1:5" ht="15" customHeight="1" x14ac:dyDescent="0.2">
      <c r="B30" s="19" t="s">
        <v>102</v>
      </c>
      <c r="C30" s="25">
        <v>43</v>
      </c>
      <c r="D30" s="20"/>
      <c r="E30" s="21"/>
    </row>
    <row r="31" spans="1:5" ht="15" customHeight="1" x14ac:dyDescent="0.2">
      <c r="B31" s="19" t="s">
        <v>101</v>
      </c>
      <c r="C31" s="25">
        <v>67</v>
      </c>
      <c r="D31" s="20"/>
      <c r="E31" s="20"/>
    </row>
    <row r="32" spans="1:5" ht="15" customHeight="1" x14ac:dyDescent="0.2">
      <c r="B32" s="19" t="s">
        <v>187</v>
      </c>
      <c r="C32" s="25">
        <v>4.01</v>
      </c>
    </row>
    <row r="33" spans="1:5" ht="15" customHeight="1" x14ac:dyDescent="0.2">
      <c r="B33" s="19" t="s">
        <v>100</v>
      </c>
      <c r="C33" s="23">
        <v>0.13</v>
      </c>
    </row>
    <row r="34" spans="1:5" ht="15" customHeight="1" x14ac:dyDescent="0.2">
      <c r="B34" s="64" t="s">
        <v>104</v>
      </c>
      <c r="C34" s="25">
        <v>22.4</v>
      </c>
    </row>
    <row r="35" spans="1:5" ht="15.75" customHeight="1" x14ac:dyDescent="0.2">
      <c r="D35" s="20"/>
    </row>
    <row r="36" spans="1:5" ht="15.75" customHeight="1" x14ac:dyDescent="0.2">
      <c r="A36" s="15" t="s">
        <v>147</v>
      </c>
      <c r="D36" s="20"/>
    </row>
    <row r="37" spans="1:5" ht="15.75" customHeight="1" x14ac:dyDescent="0.2">
      <c r="B37" s="19" t="s">
        <v>9</v>
      </c>
      <c r="C37" s="23">
        <v>3.1E-2</v>
      </c>
      <c r="D37" s="20"/>
    </row>
    <row r="38" spans="1:5" ht="15.75" customHeight="1" x14ac:dyDescent="0.2">
      <c r="B38" s="19" t="s">
        <v>11</v>
      </c>
      <c r="C38" s="23">
        <v>0.109</v>
      </c>
      <c r="D38" s="20"/>
    </row>
    <row r="39" spans="1:5" ht="15.75" customHeight="1" x14ac:dyDescent="0.2">
      <c r="B39" s="19" t="s">
        <v>12</v>
      </c>
      <c r="C39" s="23">
        <v>0.36499999999999999</v>
      </c>
      <c r="D39" s="20"/>
      <c r="E39" s="21"/>
    </row>
    <row r="40" spans="1:5" ht="15" customHeight="1" x14ac:dyDescent="0.2">
      <c r="B40" s="19" t="s">
        <v>26</v>
      </c>
      <c r="C40" s="26">
        <f>1-term_SGA-preterm_AGA-preterm_SGA</f>
        <v>0.495</v>
      </c>
      <c r="D40" s="20"/>
      <c r="E40" s="20"/>
    </row>
    <row r="41" spans="1:5" ht="15.75" customHeight="1" x14ac:dyDescent="0.2">
      <c r="D41" s="20"/>
    </row>
    <row r="42" spans="1:5" ht="15.75" customHeight="1" x14ac:dyDescent="0.2">
      <c r="A42" s="15" t="s">
        <v>73</v>
      </c>
      <c r="D42" s="20"/>
    </row>
    <row r="43" spans="1:5" ht="15.75" customHeight="1" x14ac:dyDescent="0.2">
      <c r="B43" s="19" t="s">
        <v>138</v>
      </c>
      <c r="C43" s="7">
        <v>1.66</v>
      </c>
      <c r="D43" s="20"/>
    </row>
    <row r="44" spans="1:5" ht="15" customHeight="1" x14ac:dyDescent="0.2">
      <c r="B44" s="19" t="s">
        <v>139</v>
      </c>
      <c r="C44" s="7">
        <v>1.66</v>
      </c>
    </row>
    <row r="45" spans="1:5" ht="15.75" customHeight="1" x14ac:dyDescent="0.2">
      <c r="B45" s="19" t="s">
        <v>140</v>
      </c>
      <c r="C45" s="7">
        <v>5.64</v>
      </c>
    </row>
    <row r="46" spans="1:5" ht="15.75" customHeight="1" x14ac:dyDescent="0.2">
      <c r="B46" s="19" t="s">
        <v>141</v>
      </c>
      <c r="C46" s="7">
        <v>5.43</v>
      </c>
    </row>
    <row r="47" spans="1:5" ht="15.75" customHeight="1" x14ac:dyDescent="0.2">
      <c r="B47" s="19" t="s">
        <v>142</v>
      </c>
      <c r="C47" s="7">
        <v>1.91</v>
      </c>
    </row>
    <row r="49" spans="1:3" ht="15.75" customHeight="1" x14ac:dyDescent="0.2">
      <c r="A49" s="15" t="s">
        <v>148</v>
      </c>
    </row>
    <row r="50" spans="1:3" ht="15.75" customHeight="1" x14ac:dyDescent="0.2">
      <c r="B50" s="9" t="s">
        <v>122</v>
      </c>
      <c r="C50" s="24">
        <v>0.2</v>
      </c>
    </row>
    <row r="51" spans="1:3" ht="15.75" customHeight="1" x14ac:dyDescent="0.2">
      <c r="B51" s="19" t="s">
        <v>146</v>
      </c>
      <c r="C51" s="24">
        <v>0.42</v>
      </c>
    </row>
    <row r="52" spans="1:3" ht="15.75" customHeight="1" x14ac:dyDescent="0.2">
      <c r="B52" s="19" t="s">
        <v>149</v>
      </c>
      <c r="C52" s="24">
        <v>1</v>
      </c>
    </row>
    <row r="53" spans="1:3" ht="15.75" customHeight="1" x14ac:dyDescent="0.2">
      <c r="B53" s="19" t="s">
        <v>150</v>
      </c>
      <c r="C53" s="24">
        <v>1</v>
      </c>
    </row>
    <row r="57" spans="1:3" ht="15.75" customHeight="1" x14ac:dyDescent="0.2">
      <c r="A57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F33"/>
  <sheetViews>
    <sheetView workbookViewId="0">
      <selection activeCell="B2" sqref="B2"/>
    </sheetView>
  </sheetViews>
  <sheetFormatPr defaultColWidth="14.42578125" defaultRowHeight="15.75" customHeight="1" x14ac:dyDescent="0.2"/>
  <cols>
    <col min="1" max="1" width="56" style="74" customWidth="1"/>
    <col min="2" max="2" width="20" style="57" customWidth="1"/>
    <col min="3" max="3" width="20.42578125" style="56" customWidth="1"/>
    <col min="4" max="4" width="20.140625" style="56" customWidth="1"/>
    <col min="5" max="16384" width="14.42578125" style="56"/>
  </cols>
  <sheetData>
    <row r="1" spans="1:5" ht="25.5" x14ac:dyDescent="0.2">
      <c r="A1" s="83" t="s">
        <v>70</v>
      </c>
      <c r="B1" s="98" t="str">
        <f>"Baseline ("&amp;start_year&amp;") coverage"</f>
        <v>Baseline (2017) coverage</v>
      </c>
      <c r="C1" s="82" t="s">
        <v>196</v>
      </c>
      <c r="D1" s="81" t="s">
        <v>195</v>
      </c>
    </row>
    <row r="2" spans="1:5" ht="15.75" customHeight="1" x14ac:dyDescent="0.2">
      <c r="A2" s="74" t="s">
        <v>29</v>
      </c>
      <c r="B2" s="75">
        <v>0</v>
      </c>
      <c r="C2" s="75">
        <v>0.95</v>
      </c>
      <c r="D2" s="76">
        <v>25</v>
      </c>
    </row>
    <row r="3" spans="1:5" ht="15.75" customHeight="1" x14ac:dyDescent="0.2">
      <c r="A3" s="74" t="s">
        <v>97</v>
      </c>
      <c r="B3" s="75">
        <v>0</v>
      </c>
      <c r="C3" s="75">
        <v>0.95</v>
      </c>
      <c r="D3" s="76">
        <v>1</v>
      </c>
      <c r="E3" s="65"/>
    </row>
    <row r="4" spans="1:5" ht="15.75" customHeight="1" x14ac:dyDescent="0.2">
      <c r="A4" s="74" t="s">
        <v>61</v>
      </c>
      <c r="B4" s="75">
        <v>0</v>
      </c>
      <c r="C4" s="75">
        <v>0.95</v>
      </c>
      <c r="D4" s="76">
        <f>180</f>
        <v>180</v>
      </c>
      <c r="E4" s="65"/>
    </row>
    <row r="5" spans="1:5" ht="15.75" customHeight="1" x14ac:dyDescent="0.2">
      <c r="A5" s="74" t="s">
        <v>68</v>
      </c>
      <c r="B5" s="75">
        <v>0</v>
      </c>
      <c r="C5" s="75">
        <v>0.95</v>
      </c>
      <c r="D5" s="77">
        <f>SUM('Programs family planning'!E2:E10)</f>
        <v>0.82100000000000006</v>
      </c>
      <c r="E5" s="80"/>
    </row>
    <row r="6" spans="1:5" ht="15.75" customHeight="1" x14ac:dyDescent="0.2">
      <c r="A6" s="74" t="s">
        <v>63</v>
      </c>
      <c r="B6" s="75">
        <v>0.36</v>
      </c>
      <c r="C6" s="75">
        <v>0.95</v>
      </c>
      <c r="D6" s="76">
        <v>0.25</v>
      </c>
      <c r="E6" s="79"/>
    </row>
    <row r="7" spans="1:5" ht="15.75" customHeight="1" x14ac:dyDescent="0.2">
      <c r="A7" s="93" t="s">
        <v>207</v>
      </c>
      <c r="B7" s="75">
        <v>0</v>
      </c>
      <c r="C7" s="75">
        <v>0.95</v>
      </c>
      <c r="D7" s="76">
        <v>0.73</v>
      </c>
    </row>
    <row r="8" spans="1:5" ht="15.75" customHeight="1" x14ac:dyDescent="0.2">
      <c r="A8" s="93" t="s">
        <v>208</v>
      </c>
      <c r="B8" s="75">
        <v>0</v>
      </c>
      <c r="C8" s="75">
        <v>0.95</v>
      </c>
      <c r="D8" s="76">
        <v>1.78</v>
      </c>
    </row>
    <row r="9" spans="1:5" ht="15.75" customHeight="1" x14ac:dyDescent="0.2">
      <c r="A9" s="93" t="s">
        <v>209</v>
      </c>
      <c r="B9" s="75">
        <v>0</v>
      </c>
      <c r="C9" s="75">
        <v>0.95</v>
      </c>
      <c r="D9" s="76">
        <v>0.24</v>
      </c>
    </row>
    <row r="10" spans="1:5" ht="15.75" customHeight="1" x14ac:dyDescent="0.2">
      <c r="A10" s="93" t="s">
        <v>210</v>
      </c>
      <c r="B10" s="75">
        <v>0</v>
      </c>
      <c r="C10" s="75">
        <v>0.95</v>
      </c>
      <c r="D10" s="76">
        <v>0.55000000000000004</v>
      </c>
    </row>
    <row r="11" spans="1:5" ht="15.75" customHeight="1" x14ac:dyDescent="0.2">
      <c r="A11" s="14" t="s">
        <v>206</v>
      </c>
      <c r="B11" s="75">
        <v>0</v>
      </c>
      <c r="C11" s="75">
        <v>0.95</v>
      </c>
      <c r="D11" s="76">
        <v>0.73</v>
      </c>
    </row>
    <row r="12" spans="1:5" ht="15.75" customHeight="1" x14ac:dyDescent="0.2">
      <c r="A12" s="14" t="s">
        <v>211</v>
      </c>
      <c r="B12" s="75">
        <v>0</v>
      </c>
      <c r="C12" s="75">
        <v>0.95</v>
      </c>
      <c r="D12" s="76">
        <v>1.78</v>
      </c>
    </row>
    <row r="13" spans="1:5" ht="15.75" customHeight="1" x14ac:dyDescent="0.2">
      <c r="A13" s="74" t="s">
        <v>57</v>
      </c>
      <c r="B13" s="75">
        <v>0.34599999999999997</v>
      </c>
      <c r="C13" s="75">
        <v>0.95</v>
      </c>
      <c r="D13" s="76">
        <v>2.06</v>
      </c>
      <c r="E13" s="65"/>
    </row>
    <row r="14" spans="1:5" ht="15.75" customHeight="1" x14ac:dyDescent="0.2">
      <c r="A14" s="74" t="s">
        <v>47</v>
      </c>
      <c r="B14" s="75">
        <v>0.80800000000000005</v>
      </c>
      <c r="C14" s="75">
        <v>0.95</v>
      </c>
      <c r="D14" s="76">
        <v>0.05</v>
      </c>
      <c r="E14" s="65"/>
    </row>
    <row r="15" spans="1:5" ht="15.75" customHeight="1" x14ac:dyDescent="0.2">
      <c r="A15" s="74" t="s">
        <v>189</v>
      </c>
      <c r="B15" s="75">
        <v>0</v>
      </c>
      <c r="C15" s="75">
        <v>0.95</v>
      </c>
      <c r="D15" s="92">
        <f>SUMPRODUCT(('IYCF cost'!$C$2:$E$6)*('IYCF packages'!$C$2:$E$6&lt;&gt;""))</f>
        <v>10.49</v>
      </c>
    </row>
    <row r="16" spans="1:5" ht="15.75" customHeight="1" x14ac:dyDescent="0.2">
      <c r="A16" s="74" t="s">
        <v>152</v>
      </c>
      <c r="B16" s="75">
        <v>0</v>
      </c>
      <c r="C16" s="75">
        <v>0.95</v>
      </c>
      <c r="D16" s="76">
        <v>50</v>
      </c>
      <c r="E16" s="65"/>
    </row>
    <row r="17" spans="1:6" ht="15.75" customHeight="1" x14ac:dyDescent="0.2">
      <c r="A17" s="74" t="s">
        <v>34</v>
      </c>
      <c r="B17" s="75">
        <v>0.50800000000000001</v>
      </c>
      <c r="C17" s="75">
        <v>0.95</v>
      </c>
      <c r="D17" s="76">
        <v>2.61</v>
      </c>
      <c r="E17" s="65"/>
    </row>
    <row r="18" spans="1:6" ht="15.75" customHeight="1" x14ac:dyDescent="0.2">
      <c r="A18" s="74" t="s">
        <v>99</v>
      </c>
      <c r="B18" s="75">
        <v>0</v>
      </c>
      <c r="C18" s="75">
        <v>0.95</v>
      </c>
      <c r="D18" s="76">
        <v>1</v>
      </c>
      <c r="E18" s="65"/>
    </row>
    <row r="19" spans="1:6" ht="15.75" customHeight="1" x14ac:dyDescent="0.2">
      <c r="A19" s="74" t="s">
        <v>98</v>
      </c>
      <c r="B19" s="75">
        <v>0</v>
      </c>
      <c r="C19" s="75">
        <v>0.95</v>
      </c>
      <c r="D19" s="76">
        <v>1</v>
      </c>
      <c r="E19" s="78"/>
    </row>
    <row r="20" spans="1:6" ht="15.75" customHeight="1" x14ac:dyDescent="0.2">
      <c r="A20" s="74" t="s">
        <v>153</v>
      </c>
      <c r="B20" s="75">
        <v>0.1</v>
      </c>
      <c r="C20" s="75">
        <v>0.95</v>
      </c>
      <c r="D20" s="76">
        <v>4.6500000000000004</v>
      </c>
      <c r="E20" s="65"/>
    </row>
    <row r="21" spans="1:6" ht="15.75" customHeight="1" x14ac:dyDescent="0.2">
      <c r="A21" s="74" t="s">
        <v>59</v>
      </c>
      <c r="B21" s="75">
        <v>0.3538</v>
      </c>
      <c r="C21" s="75">
        <v>0.95</v>
      </c>
      <c r="D21" s="76">
        <v>3.78</v>
      </c>
      <c r="E21" s="65"/>
    </row>
    <row r="22" spans="1:6" ht="15.75" customHeight="1" x14ac:dyDescent="0.2">
      <c r="A22" s="74" t="s">
        <v>95</v>
      </c>
      <c r="B22" s="75">
        <v>0</v>
      </c>
      <c r="C22" s="75">
        <v>0.95</v>
      </c>
      <c r="D22" s="76">
        <v>1</v>
      </c>
    </row>
    <row r="23" spans="1:6" ht="15.75" customHeight="1" x14ac:dyDescent="0.2">
      <c r="A23" s="74" t="s">
        <v>58</v>
      </c>
      <c r="B23" s="75">
        <v>0</v>
      </c>
      <c r="C23" s="75">
        <v>0.95</v>
      </c>
      <c r="D23" s="76">
        <v>48</v>
      </c>
    </row>
    <row r="24" spans="1:6" ht="15.75" customHeight="1" x14ac:dyDescent="0.2">
      <c r="A24" s="74" t="s">
        <v>67</v>
      </c>
      <c r="B24" s="75">
        <v>0</v>
      </c>
      <c r="C24" s="75">
        <v>0.95</v>
      </c>
      <c r="D24" s="77">
        <f>90*AVERAGE('Incidence of conditions'!B4:F4) + 40*AVERAGE('Incidence of conditions'!B3:F3)*IF(ISBLANK(manage_mam), 0, 1)</f>
        <v>10.015195269175592</v>
      </c>
    </row>
    <row r="25" spans="1:6" ht="15.75" customHeight="1" x14ac:dyDescent="0.2">
      <c r="A25" s="74" t="s">
        <v>28</v>
      </c>
      <c r="B25" s="75">
        <v>0.89970000000000006</v>
      </c>
      <c r="C25" s="75">
        <v>0.95</v>
      </c>
      <c r="D25" s="76">
        <v>0.41</v>
      </c>
    </row>
    <row r="26" spans="1:6" ht="15.75" customHeight="1" x14ac:dyDescent="0.2">
      <c r="A26" s="74" t="s">
        <v>94</v>
      </c>
      <c r="B26" s="75">
        <v>0.80700000000000005</v>
      </c>
      <c r="C26" s="75">
        <v>0.95</v>
      </c>
      <c r="D26" s="76">
        <v>0.9</v>
      </c>
    </row>
    <row r="27" spans="1:6" ht="15.75" customHeight="1" x14ac:dyDescent="0.2">
      <c r="A27" s="74" t="s">
        <v>93</v>
      </c>
      <c r="B27" s="75">
        <v>0.73199999999999998</v>
      </c>
      <c r="C27" s="75">
        <v>0.95</v>
      </c>
      <c r="D27" s="76">
        <v>0.9</v>
      </c>
    </row>
    <row r="28" spans="1:6" ht="15.75" customHeight="1" x14ac:dyDescent="0.2">
      <c r="A28" s="74" t="s">
        <v>92</v>
      </c>
      <c r="B28" s="75">
        <v>0.316</v>
      </c>
      <c r="C28" s="75">
        <v>0.95</v>
      </c>
      <c r="D28" s="76">
        <v>79</v>
      </c>
    </row>
    <row r="29" spans="1:6" ht="15.75" customHeight="1" x14ac:dyDescent="0.2">
      <c r="A29" s="74" t="s">
        <v>90</v>
      </c>
      <c r="B29" s="75">
        <v>0.59699999999999998</v>
      </c>
      <c r="C29" s="75">
        <v>0.95</v>
      </c>
      <c r="D29" s="76">
        <v>31</v>
      </c>
    </row>
    <row r="30" spans="1:6" s="57" customFormat="1" ht="15.75" customHeight="1" x14ac:dyDescent="0.2">
      <c r="A30" s="74" t="s">
        <v>91</v>
      </c>
      <c r="B30" s="75">
        <v>0.19900000000000001</v>
      </c>
      <c r="C30" s="75">
        <v>0.95</v>
      </c>
      <c r="D30" s="76">
        <v>102</v>
      </c>
      <c r="F30" s="56"/>
    </row>
    <row r="31" spans="1:6" ht="15.75" customHeight="1" x14ac:dyDescent="0.2">
      <c r="A31" s="74" t="s">
        <v>96</v>
      </c>
      <c r="B31" s="75">
        <v>0.13400000000000001</v>
      </c>
      <c r="C31" s="75">
        <v>0.95</v>
      </c>
      <c r="D31" s="76">
        <v>5.53</v>
      </c>
    </row>
    <row r="32" spans="1:6" ht="15.75" customHeight="1" x14ac:dyDescent="0.2">
      <c r="A32" s="74" t="s">
        <v>60</v>
      </c>
      <c r="B32" s="75">
        <v>0</v>
      </c>
      <c r="C32" s="75">
        <v>0.95</v>
      </c>
      <c r="D32" s="76">
        <v>1</v>
      </c>
    </row>
    <row r="33" spans="6:6" ht="15.75" customHeight="1" x14ac:dyDescent="0.2">
      <c r="F33" s="57"/>
    </row>
  </sheetData>
  <sortState ref="A2:D32">
    <sortCondition ref="A2:A32"/>
  </sortState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"/>
    </sheetView>
  </sheetViews>
  <sheetFormatPr defaultColWidth="10.85546875" defaultRowHeight="15.75" x14ac:dyDescent="0.25"/>
  <cols>
    <col min="1" max="1" width="18.7109375" style="84" customWidth="1"/>
    <col min="2" max="16384" width="10.85546875" style="84"/>
  </cols>
  <sheetData>
    <row r="1" spans="1:5" ht="51.75" x14ac:dyDescent="0.25">
      <c r="A1" s="89" t="s">
        <v>197</v>
      </c>
      <c r="B1" s="88" t="s">
        <v>193</v>
      </c>
      <c r="C1" s="88" t="s">
        <v>192</v>
      </c>
      <c r="D1" s="88" t="s">
        <v>191</v>
      </c>
      <c r="E1" s="88" t="s">
        <v>190</v>
      </c>
    </row>
    <row r="2" spans="1:5" x14ac:dyDescent="0.25">
      <c r="A2" s="87" t="s">
        <v>180</v>
      </c>
      <c r="B2" s="86" t="s">
        <v>32</v>
      </c>
      <c r="C2" s="76">
        <f>1.5*0.61</f>
        <v>0.91500000000000004</v>
      </c>
      <c r="D2" s="76">
        <v>3.78</v>
      </c>
      <c r="E2" s="76">
        <v>0.05</v>
      </c>
    </row>
    <row r="3" spans="1:5" x14ac:dyDescent="0.25">
      <c r="A3" s="86"/>
      <c r="B3" s="86" t="s">
        <v>1</v>
      </c>
      <c r="C3" s="76">
        <f>1.5*0.61</f>
        <v>0.91500000000000004</v>
      </c>
      <c r="D3" s="76">
        <f t="shared" ref="D3:D6" si="0">10.49/4</f>
        <v>2.6225000000000001</v>
      </c>
      <c r="E3" s="76">
        <v>0.05</v>
      </c>
    </row>
    <row r="4" spans="1:5" x14ac:dyDescent="0.25">
      <c r="A4" s="86"/>
      <c r="B4" s="86" t="s">
        <v>2</v>
      </c>
      <c r="C4" s="76">
        <f>1.5*0.61</f>
        <v>0.91500000000000004</v>
      </c>
      <c r="D4" s="76">
        <f t="shared" si="0"/>
        <v>2.6225000000000001</v>
      </c>
      <c r="E4" s="76">
        <v>0.05</v>
      </c>
    </row>
    <row r="5" spans="1:5" x14ac:dyDescent="0.25">
      <c r="A5" s="86"/>
      <c r="B5" s="86" t="s">
        <v>3</v>
      </c>
      <c r="C5" s="76">
        <f>1.5*0.61</f>
        <v>0.91500000000000004</v>
      </c>
      <c r="D5" s="76">
        <f t="shared" si="0"/>
        <v>2.6225000000000001</v>
      </c>
      <c r="E5" s="76">
        <v>0.05</v>
      </c>
    </row>
    <row r="6" spans="1:5" x14ac:dyDescent="0.25">
      <c r="A6" s="86"/>
      <c r="B6" s="86" t="s">
        <v>4</v>
      </c>
      <c r="C6" s="76">
        <f>1.5*0.61</f>
        <v>0.91500000000000004</v>
      </c>
      <c r="D6" s="76">
        <f t="shared" si="0"/>
        <v>2.6225000000000001</v>
      </c>
      <c r="E6" s="76">
        <v>0.05</v>
      </c>
    </row>
    <row r="9" spans="1:5" x14ac:dyDescent="0.25">
      <c r="C9" s="8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18"/>
  <sheetViews>
    <sheetView workbookViewId="0">
      <selection activeCell="D7" sqref="D7"/>
    </sheetView>
  </sheetViews>
  <sheetFormatPr defaultColWidth="11.42578125" defaultRowHeight="12.75" x14ac:dyDescent="0.2"/>
  <cols>
    <col min="1" max="1" width="53" style="74" bestFit="1" customWidth="1"/>
    <col min="2" max="2" width="47.85546875" style="56" customWidth="1"/>
    <col min="3" max="3" width="42.42578125" style="56" customWidth="1"/>
    <col min="4" max="16384" width="11.42578125" style="56"/>
  </cols>
  <sheetData>
    <row r="1" spans="1:3" x14ac:dyDescent="0.2">
      <c r="A1" s="61" t="s">
        <v>70</v>
      </c>
      <c r="B1" s="61" t="s">
        <v>199</v>
      </c>
      <c r="C1" s="61" t="s">
        <v>198</v>
      </c>
    </row>
    <row r="2" spans="1:3" x14ac:dyDescent="0.2">
      <c r="A2" s="14" t="s">
        <v>206</v>
      </c>
      <c r="B2" s="70" t="s">
        <v>59</v>
      </c>
      <c r="C2" s="70"/>
    </row>
    <row r="3" spans="1:3" x14ac:dyDescent="0.2">
      <c r="A3" s="14" t="s">
        <v>211</v>
      </c>
      <c r="B3" s="70" t="s">
        <v>59</v>
      </c>
      <c r="C3" s="70"/>
    </row>
    <row r="4" spans="1:3" x14ac:dyDescent="0.2">
      <c r="A4" s="74" t="s">
        <v>58</v>
      </c>
      <c r="B4" s="70" t="s">
        <v>152</v>
      </c>
      <c r="C4" s="70"/>
    </row>
    <row r="5" spans="1:3" x14ac:dyDescent="0.2">
      <c r="A5" s="74" t="s">
        <v>153</v>
      </c>
      <c r="B5" s="70" t="s">
        <v>152</v>
      </c>
      <c r="C5" s="70"/>
    </row>
    <row r="11" spans="1:3" x14ac:dyDescent="0.2">
      <c r="A11" s="52"/>
    </row>
    <row r="12" spans="1:3" x14ac:dyDescent="0.2">
      <c r="A12" s="52"/>
    </row>
    <row r="13" spans="1:3" x14ac:dyDescent="0.2">
      <c r="A13" s="52"/>
    </row>
    <row r="14" spans="1:3" x14ac:dyDescent="0.2">
      <c r="A14" s="52"/>
    </row>
    <row r="15" spans="1:3" x14ac:dyDescent="0.2">
      <c r="A15" s="52"/>
    </row>
    <row r="16" spans="1:3" x14ac:dyDescent="0.2">
      <c r="A16" s="52"/>
    </row>
    <row r="17" spans="1:1" x14ac:dyDescent="0.2">
      <c r="A17" s="52"/>
    </row>
    <row r="18" spans="1:1" x14ac:dyDescent="0.2">
      <c r="A18" s="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L37" sqref="L37"/>
    </sheetView>
  </sheetViews>
  <sheetFormatPr defaultColWidth="11.42578125" defaultRowHeight="12.75" x14ac:dyDescent="0.2"/>
  <cols>
    <col min="1" max="1" width="30.140625" style="56" customWidth="1"/>
    <col min="2" max="16384" width="11.42578125" style="56"/>
  </cols>
  <sheetData>
    <row r="1" spans="1:1" x14ac:dyDescent="0.2">
      <c r="A1" s="61" t="s">
        <v>70</v>
      </c>
    </row>
    <row r="2" spans="1:1" x14ac:dyDescent="0.2">
      <c r="A2" s="70" t="s">
        <v>68</v>
      </c>
    </row>
    <row r="3" spans="1:1" x14ac:dyDescent="0.2">
      <c r="A3" s="70" t="s">
        <v>57</v>
      </c>
    </row>
    <row r="4" spans="1:1" x14ac:dyDescent="0.2">
      <c r="A4" s="70" t="s">
        <v>34</v>
      </c>
    </row>
    <row r="5" spans="1:1" x14ac:dyDescent="0.2">
      <c r="A5" s="70" t="s">
        <v>94</v>
      </c>
    </row>
    <row r="6" spans="1:1" x14ac:dyDescent="0.2">
      <c r="A6" s="70" t="s">
        <v>93</v>
      </c>
    </row>
    <row r="7" spans="1:1" x14ac:dyDescent="0.2">
      <c r="A7" s="70" t="s">
        <v>92</v>
      </c>
    </row>
    <row r="8" spans="1:1" x14ac:dyDescent="0.2">
      <c r="A8" s="70" t="s">
        <v>90</v>
      </c>
    </row>
    <row r="9" spans="1:1" x14ac:dyDescent="0.2">
      <c r="A9" s="70" t="s">
        <v>91</v>
      </c>
    </row>
    <row r="10" spans="1:1" x14ac:dyDescent="0.2">
      <c r="A10" s="70"/>
    </row>
    <row r="11" spans="1:1" x14ac:dyDescent="0.2">
      <c r="A11" s="70"/>
    </row>
    <row r="12" spans="1:1" x14ac:dyDescent="0.2">
      <c r="A12" s="70"/>
    </row>
    <row r="13" spans="1:1" x14ac:dyDescent="0.2">
      <c r="A13" s="70"/>
    </row>
    <row r="14" spans="1:1" x14ac:dyDescent="0.2">
      <c r="A14" s="70"/>
    </row>
    <row r="15" spans="1:1" x14ac:dyDescent="0.2">
      <c r="A15" s="70"/>
    </row>
    <row r="16" spans="1:1" x14ac:dyDescent="0.2">
      <c r="A16" s="70"/>
    </row>
    <row r="17" spans="1:1" x14ac:dyDescent="0.2">
      <c r="A17" s="70"/>
    </row>
    <row r="18" spans="1:1" x14ac:dyDescent="0.2">
      <c r="A18" s="70"/>
    </row>
    <row r="19" spans="1:1" x14ac:dyDescent="0.2">
      <c r="A19" s="70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B3" sqref="B3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72</v>
      </c>
      <c r="B2" s="37">
        <f>'Baseline year population inputs'!C43</f>
        <v>1.66</v>
      </c>
      <c r="C2" s="37">
        <f>'Baseline year population inputs'!C44</f>
        <v>1.66</v>
      </c>
      <c r="D2" s="37">
        <f>'Baseline year population inputs'!C45</f>
        <v>5.64</v>
      </c>
      <c r="E2" s="37">
        <f>'Baseline year population inputs'!C46</f>
        <v>5.43</v>
      </c>
      <c r="F2" s="37">
        <f>'Baseline year population inputs'!C47</f>
        <v>1.91</v>
      </c>
    </row>
    <row r="3" spans="1:6" ht="15.75" customHeight="1" x14ac:dyDescent="0.2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2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8"/>
  <sheetViews>
    <sheetView zoomScale="85" zoomScaleNormal="118" workbookViewId="0">
      <selection activeCell="B22" sqref="B22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4" t="s">
        <v>61</v>
      </c>
      <c r="C2" s="54">
        <v>0</v>
      </c>
      <c r="D2" s="54">
        <f>food_insecure</f>
        <v>0.28199999999999997</v>
      </c>
      <c r="E2" s="54">
        <f>food_insecure</f>
        <v>0.28199999999999997</v>
      </c>
      <c r="F2" s="54">
        <f>food_insecure</f>
        <v>0.28199999999999997</v>
      </c>
      <c r="G2" s="54">
        <f>food_insecure</f>
        <v>0.28199999999999997</v>
      </c>
      <c r="H2" s="55">
        <v>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</row>
    <row r="3" spans="1:15" ht="15.75" customHeight="1" x14ac:dyDescent="0.2">
      <c r="B3" s="9" t="s">
        <v>165</v>
      </c>
      <c r="C3" s="54">
        <v>1</v>
      </c>
      <c r="D3" s="54">
        <v>0</v>
      </c>
      <c r="E3" s="54">
        <v>0</v>
      </c>
      <c r="F3" s="54">
        <v>0</v>
      </c>
      <c r="G3" s="54">
        <v>0</v>
      </c>
      <c r="H3" s="55">
        <v>0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</row>
    <row r="4" spans="1:15" ht="15.75" customHeight="1" x14ac:dyDescent="0.2">
      <c r="B4" s="14" t="s">
        <v>152</v>
      </c>
      <c r="C4" s="54">
        <v>0</v>
      </c>
      <c r="D4" s="54">
        <v>0</v>
      </c>
      <c r="E4" s="54">
        <f>food_insecure</f>
        <v>0.28199999999999997</v>
      </c>
      <c r="F4" s="54">
        <f>food_insecure</f>
        <v>0.28199999999999997</v>
      </c>
      <c r="G4" s="54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</row>
    <row r="5" spans="1:15" ht="15.75" customHeight="1" x14ac:dyDescent="0.2">
      <c r="B5" s="14" t="s">
        <v>153</v>
      </c>
      <c r="C5" s="54">
        <v>0</v>
      </c>
      <c r="D5" s="54">
        <v>0</v>
      </c>
      <c r="E5" s="54">
        <f>1</f>
        <v>1</v>
      </c>
      <c r="F5" s="54">
        <f>1</f>
        <v>1</v>
      </c>
      <c r="G5" s="54">
        <f>1</f>
        <v>1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</row>
    <row r="6" spans="1:15" ht="15.75" customHeight="1" x14ac:dyDescent="0.2">
      <c r="B6" s="52" t="s">
        <v>95</v>
      </c>
      <c r="C6" s="54">
        <v>1</v>
      </c>
      <c r="D6" s="54">
        <v>1</v>
      </c>
      <c r="E6" s="54">
        <v>1</v>
      </c>
      <c r="F6" s="54">
        <v>1</v>
      </c>
      <c r="G6" s="54">
        <v>1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</row>
    <row r="7" spans="1:15" ht="15.75" customHeight="1" x14ac:dyDescent="0.2">
      <c r="B7" s="14" t="s">
        <v>58</v>
      </c>
      <c r="C7" s="54">
        <v>0</v>
      </c>
      <c r="D7" s="54">
        <v>0</v>
      </c>
      <c r="E7" s="54">
        <f>food_insecure</f>
        <v>0.28199999999999997</v>
      </c>
      <c r="F7" s="54">
        <f>food_insecure</f>
        <v>0.28199999999999997</v>
      </c>
      <c r="G7" s="54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</row>
    <row r="8" spans="1:15" ht="15.75" customHeight="1" x14ac:dyDescent="0.2">
      <c r="B8" s="14" t="s">
        <v>67</v>
      </c>
      <c r="C8" s="54">
        <v>0</v>
      </c>
      <c r="D8" s="54">
        <f>IF(ISBLANK(comm_deliv), frac_children_health_facility,1)</f>
        <v>1</v>
      </c>
      <c r="E8" s="54">
        <f>IF(ISBLANK(comm_deliv), frac_children_health_facility,1)</f>
        <v>1</v>
      </c>
      <c r="F8" s="54">
        <f>IF(ISBLANK(comm_deliv), frac_children_health_facility,1)</f>
        <v>1</v>
      </c>
      <c r="G8" s="54">
        <f>IF(ISBLANK(comm_deliv), frac_children_health_facility,1)</f>
        <v>1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</row>
    <row r="9" spans="1:15" ht="15" customHeight="1" x14ac:dyDescent="0.2">
      <c r="B9" s="14" t="s">
        <v>28</v>
      </c>
      <c r="C9" s="54">
        <v>0</v>
      </c>
      <c r="D9" s="54">
        <v>0</v>
      </c>
      <c r="E9" s="54">
        <v>1</v>
      </c>
      <c r="F9" s="54">
        <v>1</v>
      </c>
      <c r="G9" s="54">
        <v>1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</row>
    <row r="10" spans="1:15" ht="15.75" customHeight="1" x14ac:dyDescent="0.2">
      <c r="B10" s="52" t="s">
        <v>96</v>
      </c>
      <c r="C10" s="54">
        <v>1</v>
      </c>
      <c r="D10" s="54">
        <v>1</v>
      </c>
      <c r="E10" s="54">
        <v>1</v>
      </c>
      <c r="F10" s="54">
        <v>1</v>
      </c>
      <c r="G10" s="54">
        <v>1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</row>
    <row r="11" spans="1:15" ht="15.75" customHeight="1" x14ac:dyDescent="0.2">
      <c r="B11" s="14" t="s">
        <v>60</v>
      </c>
      <c r="C11" s="54">
        <v>0</v>
      </c>
      <c r="D11" s="54">
        <v>0</v>
      </c>
      <c r="E11" s="54">
        <v>1</v>
      </c>
      <c r="F11" s="54">
        <v>1</v>
      </c>
      <c r="G11" s="54">
        <v>1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</row>
    <row r="12" spans="1:15" ht="15.75" customHeight="1" x14ac:dyDescent="0.2">
      <c r="B12" s="52"/>
    </row>
    <row r="13" spans="1:15" ht="15.75" customHeight="1" x14ac:dyDescent="0.2">
      <c r="A13" s="4" t="s">
        <v>32</v>
      </c>
      <c r="B13" s="52" t="s">
        <v>29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4">
        <f>food_insecure</f>
        <v>0.28199999999999997</v>
      </c>
      <c r="I13" s="54">
        <f>food_insecure</f>
        <v>0.28199999999999997</v>
      </c>
      <c r="J13" s="54">
        <f>food_insecure</f>
        <v>0.28199999999999997</v>
      </c>
      <c r="K13" s="54">
        <f>food_insecure</f>
        <v>0.28199999999999997</v>
      </c>
      <c r="L13" s="55">
        <v>0</v>
      </c>
      <c r="M13" s="55">
        <v>0</v>
      </c>
      <c r="N13" s="55">
        <v>0</v>
      </c>
      <c r="O13" s="55">
        <v>0</v>
      </c>
    </row>
    <row r="14" spans="1:15" ht="15.75" customHeight="1" x14ac:dyDescent="0.2">
      <c r="A14" s="4"/>
      <c r="B14" s="14" t="s">
        <v>97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4">
        <v>1</v>
      </c>
      <c r="I14" s="54">
        <v>1</v>
      </c>
      <c r="J14" s="54">
        <v>1</v>
      </c>
      <c r="K14" s="54">
        <v>1</v>
      </c>
      <c r="L14" s="55">
        <v>0</v>
      </c>
      <c r="M14" s="55">
        <v>0</v>
      </c>
      <c r="N14" s="55">
        <v>0</v>
      </c>
      <c r="O14" s="55">
        <v>0</v>
      </c>
    </row>
    <row r="15" spans="1:15" ht="15.75" customHeight="1" x14ac:dyDescent="0.2">
      <c r="A15" s="4"/>
      <c r="B15" s="14" t="s">
        <v>206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4">
        <f xml:space="preserve"> 1</f>
        <v>1</v>
      </c>
      <c r="I15" s="54">
        <f xml:space="preserve"> 1</f>
        <v>1</v>
      </c>
      <c r="J15" s="54">
        <f xml:space="preserve"> 1</f>
        <v>1</v>
      </c>
      <c r="K15" s="54">
        <f xml:space="preserve"> 1</f>
        <v>1</v>
      </c>
      <c r="L15" s="55">
        <v>0</v>
      </c>
      <c r="M15" s="55">
        <v>0</v>
      </c>
      <c r="N15" s="55">
        <v>0</v>
      </c>
      <c r="O15" s="55">
        <v>0</v>
      </c>
    </row>
    <row r="16" spans="1:15" ht="15.75" customHeight="1" x14ac:dyDescent="0.2">
      <c r="A16" s="4"/>
      <c r="B16" s="14" t="s">
        <v>211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4">
        <f>frac_PW_health_facility</f>
        <v>0.51</v>
      </c>
      <c r="I16" s="54">
        <f>frac_PW_health_facility</f>
        <v>0.51</v>
      </c>
      <c r="J16" s="54">
        <f>frac_PW_health_facility</f>
        <v>0.51</v>
      </c>
      <c r="K16" s="54">
        <f>frac_PW_health_facility</f>
        <v>0.51</v>
      </c>
      <c r="L16" s="55">
        <v>0</v>
      </c>
      <c r="M16" s="55">
        <v>0</v>
      </c>
      <c r="N16" s="55">
        <v>0</v>
      </c>
      <c r="O16" s="55">
        <v>0</v>
      </c>
    </row>
    <row r="17" spans="1:15" ht="15" customHeight="1" x14ac:dyDescent="0.2">
      <c r="B17" s="52" t="s">
        <v>57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4">
        <f>frac_malaria_risk</f>
        <v>1</v>
      </c>
      <c r="I17" s="54">
        <f>frac_malaria_risk</f>
        <v>1</v>
      </c>
      <c r="J17" s="54">
        <f>frac_malaria_risk</f>
        <v>1</v>
      </c>
      <c r="K17" s="54">
        <f>frac_malaria_risk</f>
        <v>1</v>
      </c>
      <c r="L17" s="55">
        <v>0</v>
      </c>
      <c r="M17" s="55">
        <v>0</v>
      </c>
      <c r="N17" s="55">
        <v>0</v>
      </c>
      <c r="O17" s="55">
        <v>0</v>
      </c>
    </row>
    <row r="18" spans="1:15" ht="15.75" customHeight="1" x14ac:dyDescent="0.2">
      <c r="B18" s="14" t="s">
        <v>99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4">
        <v>1</v>
      </c>
      <c r="I18" s="54">
        <v>1</v>
      </c>
      <c r="J18" s="54">
        <v>1</v>
      </c>
      <c r="K18" s="54">
        <v>1</v>
      </c>
      <c r="L18" s="55">
        <v>0</v>
      </c>
      <c r="M18" s="55">
        <v>0</v>
      </c>
      <c r="N18" s="55">
        <v>0</v>
      </c>
      <c r="O18" s="55">
        <v>0</v>
      </c>
    </row>
    <row r="19" spans="1:15" ht="15.75" customHeight="1" x14ac:dyDescent="0.2">
      <c r="B19" s="14" t="s">
        <v>98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4">
        <v>1</v>
      </c>
      <c r="I19" s="54">
        <v>1</v>
      </c>
      <c r="J19" s="54">
        <v>1</v>
      </c>
      <c r="K19" s="54">
        <v>1</v>
      </c>
      <c r="L19" s="55">
        <v>0</v>
      </c>
      <c r="M19" s="55">
        <v>0</v>
      </c>
      <c r="N19" s="55">
        <v>0</v>
      </c>
      <c r="O19" s="55">
        <v>0</v>
      </c>
    </row>
    <row r="20" spans="1:15" ht="15.75" customHeight="1" x14ac:dyDescent="0.2">
      <c r="B20" s="52" t="s">
        <v>59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4">
        <f>1</f>
        <v>1</v>
      </c>
      <c r="I20" s="54">
        <f>1</f>
        <v>1</v>
      </c>
      <c r="J20" s="54">
        <f>1</f>
        <v>1</v>
      </c>
      <c r="K20" s="54">
        <f>1</f>
        <v>1</v>
      </c>
      <c r="L20" s="55">
        <v>0</v>
      </c>
      <c r="M20" s="55">
        <v>0</v>
      </c>
      <c r="N20" s="55">
        <v>0</v>
      </c>
      <c r="O20" s="55">
        <v>0</v>
      </c>
    </row>
    <row r="21" spans="1:15" ht="15.75" customHeight="1" x14ac:dyDescent="0.2">
      <c r="B21" s="52"/>
    </row>
    <row r="22" spans="1:15" ht="15.75" customHeight="1" x14ac:dyDescent="0.2">
      <c r="A22" s="91" t="s">
        <v>37</v>
      </c>
      <c r="B22" s="93" t="s">
        <v>68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4">
        <v>1</v>
      </c>
      <c r="M22" s="54">
        <v>1</v>
      </c>
      <c r="N22" s="54">
        <v>1</v>
      </c>
      <c r="O22" s="54">
        <v>1</v>
      </c>
    </row>
    <row r="23" spans="1:15" ht="15.75" customHeight="1" x14ac:dyDescent="0.2">
      <c r="B23" s="93" t="s">
        <v>207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4">
        <f>(1-food_insecure)*(0.49)*(1-school_attendance) + food_insecure*(0.7)*(1-school_attendance)</f>
        <v>0.42289939999999993</v>
      </c>
      <c r="M23" s="54">
        <f>(1-food_insecure)*(0.49)+food_insecure*(0.7)</f>
        <v>0.54921999999999993</v>
      </c>
      <c r="N23" s="54">
        <f>(1-food_insecure)*(0.49)+food_insecure*(0.7)</f>
        <v>0.54921999999999993</v>
      </c>
      <c r="O23" s="54">
        <f>(1-food_insecure)*(0.49)+food_insecure*(0.7)</f>
        <v>0.54921999999999993</v>
      </c>
    </row>
    <row r="24" spans="1:15" ht="15.75" customHeight="1" x14ac:dyDescent="0.2">
      <c r="B24" s="93" t="s">
        <v>208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4">
        <f>(1-food_insecure)*(0.21)*(1-school_attendance) + food_insecure*(0.3)*(1-school_attendance)</f>
        <v>0.18124259999999998</v>
      </c>
      <c r="M24" s="54">
        <f>(1-food_insecure)*(0.21)+food_insecure*(0.3)</f>
        <v>0.23537999999999998</v>
      </c>
      <c r="N24" s="54">
        <f>(1-food_insecure)*(0.21)+food_insecure*(0.3)</f>
        <v>0.23537999999999998</v>
      </c>
      <c r="O24" s="54">
        <f>(1-food_insecure)*(0.21)+food_insecure*(0.3)</f>
        <v>0.23537999999999998</v>
      </c>
    </row>
    <row r="25" spans="1:15" ht="15.75" customHeight="1" x14ac:dyDescent="0.2">
      <c r="B25" s="93" t="s">
        <v>209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4">
        <f>(1-food_insecure)*(0.3)*(1-school_attendance)</f>
        <v>0.16585799999999998</v>
      </c>
      <c r="M25" s="54">
        <f>(1-food_insecure)*(0.3)</f>
        <v>0.21539999999999998</v>
      </c>
      <c r="N25" s="54">
        <f>(1-food_insecure)*(0.3)</f>
        <v>0.21539999999999998</v>
      </c>
      <c r="O25" s="54">
        <f>(1-food_insecure)*(0.3)</f>
        <v>0.21539999999999998</v>
      </c>
    </row>
    <row r="26" spans="1:15" ht="15.75" customHeight="1" x14ac:dyDescent="0.2">
      <c r="B26" s="93" t="s">
        <v>210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4">
        <f>(1-food_insecure)*1*school_attendance + food_insecure*1*school_attendance</f>
        <v>0.23</v>
      </c>
      <c r="M26" s="54">
        <v>0</v>
      </c>
      <c r="N26" s="54">
        <v>0</v>
      </c>
      <c r="O26" s="54">
        <v>0</v>
      </c>
    </row>
    <row r="27" spans="1:15" ht="15.75" customHeight="1" x14ac:dyDescent="0.2">
      <c r="B27" s="14"/>
      <c r="C27" s="2"/>
      <c r="D27" s="2"/>
      <c r="E27" s="13"/>
      <c r="F27" s="13"/>
      <c r="G27" s="13"/>
      <c r="H27" s="13"/>
      <c r="I27" s="13"/>
    </row>
    <row r="28" spans="1:15" ht="15.75" customHeight="1" x14ac:dyDescent="0.2">
      <c r="A28" s="4" t="s">
        <v>35</v>
      </c>
      <c r="B28" s="14" t="s">
        <v>63</v>
      </c>
      <c r="C28" s="54">
        <v>0</v>
      </c>
      <c r="D28" s="54">
        <v>0</v>
      </c>
      <c r="E28" s="54">
        <f t="shared" ref="E28:O28" si="0">frac_maize</f>
        <v>0.8</v>
      </c>
      <c r="F28" s="54">
        <f t="shared" si="0"/>
        <v>0.8</v>
      </c>
      <c r="G28" s="54">
        <f t="shared" si="0"/>
        <v>0.8</v>
      </c>
      <c r="H28" s="54">
        <f t="shared" si="0"/>
        <v>0.8</v>
      </c>
      <c r="I28" s="54">
        <f t="shared" si="0"/>
        <v>0.8</v>
      </c>
      <c r="J28" s="54">
        <f t="shared" si="0"/>
        <v>0.8</v>
      </c>
      <c r="K28" s="54">
        <f t="shared" si="0"/>
        <v>0.8</v>
      </c>
      <c r="L28" s="54">
        <f t="shared" si="0"/>
        <v>0.8</v>
      </c>
      <c r="M28" s="54">
        <f t="shared" si="0"/>
        <v>0.8</v>
      </c>
      <c r="N28" s="54">
        <f t="shared" si="0"/>
        <v>0.8</v>
      </c>
      <c r="O28" s="54">
        <f t="shared" si="0"/>
        <v>0.8</v>
      </c>
    </row>
    <row r="29" spans="1:15" ht="15.75" customHeight="1" x14ac:dyDescent="0.2">
      <c r="B29" s="14" t="s">
        <v>64</v>
      </c>
      <c r="C29" s="54">
        <v>0</v>
      </c>
      <c r="D29" s="54">
        <v>0</v>
      </c>
      <c r="E29" s="54">
        <f t="shared" ref="E29:O29" si="1">frac_rice</f>
        <v>0</v>
      </c>
      <c r="F29" s="54">
        <f t="shared" si="1"/>
        <v>0</v>
      </c>
      <c r="G29" s="54">
        <f t="shared" si="1"/>
        <v>0</v>
      </c>
      <c r="H29" s="54">
        <f t="shared" si="1"/>
        <v>0</v>
      </c>
      <c r="I29" s="54">
        <f t="shared" si="1"/>
        <v>0</v>
      </c>
      <c r="J29" s="54">
        <f t="shared" si="1"/>
        <v>0</v>
      </c>
      <c r="K29" s="54">
        <f t="shared" si="1"/>
        <v>0</v>
      </c>
      <c r="L29" s="54">
        <f t="shared" si="1"/>
        <v>0</v>
      </c>
      <c r="M29" s="54">
        <f t="shared" si="1"/>
        <v>0</v>
      </c>
      <c r="N29" s="54">
        <f t="shared" si="1"/>
        <v>0</v>
      </c>
      <c r="O29" s="54">
        <f t="shared" si="1"/>
        <v>0</v>
      </c>
    </row>
    <row r="30" spans="1:15" ht="15.75" customHeight="1" x14ac:dyDescent="0.2">
      <c r="B30" s="14" t="s">
        <v>62</v>
      </c>
      <c r="C30" s="54">
        <v>0</v>
      </c>
      <c r="D30" s="54">
        <v>0</v>
      </c>
      <c r="E30" s="54">
        <f t="shared" ref="E30:O30" si="2">frac_wheat</f>
        <v>0</v>
      </c>
      <c r="F30" s="54">
        <f t="shared" si="2"/>
        <v>0</v>
      </c>
      <c r="G30" s="54">
        <f t="shared" si="2"/>
        <v>0</v>
      </c>
      <c r="H30" s="54">
        <f t="shared" si="2"/>
        <v>0</v>
      </c>
      <c r="I30" s="54">
        <f t="shared" si="2"/>
        <v>0</v>
      </c>
      <c r="J30" s="54">
        <f t="shared" si="2"/>
        <v>0</v>
      </c>
      <c r="K30" s="54">
        <f t="shared" si="2"/>
        <v>0</v>
      </c>
      <c r="L30" s="54">
        <f t="shared" si="2"/>
        <v>0</v>
      </c>
      <c r="M30" s="54">
        <f t="shared" si="2"/>
        <v>0</v>
      </c>
      <c r="N30" s="54">
        <f t="shared" si="2"/>
        <v>0</v>
      </c>
      <c r="O30" s="54">
        <f t="shared" si="2"/>
        <v>0</v>
      </c>
    </row>
    <row r="31" spans="1:15" ht="15.75" customHeight="1" x14ac:dyDescent="0.2">
      <c r="B31" s="14" t="s">
        <v>47</v>
      </c>
      <c r="C31" s="54">
        <v>0</v>
      </c>
      <c r="D31" s="54">
        <v>0</v>
      </c>
      <c r="E31" s="54">
        <v>1</v>
      </c>
      <c r="F31" s="54">
        <v>1</v>
      </c>
      <c r="G31" s="54">
        <v>1</v>
      </c>
      <c r="H31" s="54">
        <v>1</v>
      </c>
      <c r="I31" s="54">
        <v>1</v>
      </c>
      <c r="J31" s="54">
        <v>1</v>
      </c>
      <c r="K31" s="54">
        <v>1</v>
      </c>
      <c r="L31" s="54">
        <v>1</v>
      </c>
      <c r="M31" s="54">
        <v>1</v>
      </c>
      <c r="N31" s="54">
        <v>1</v>
      </c>
      <c r="O31" s="54">
        <v>1</v>
      </c>
    </row>
    <row r="32" spans="1:15" ht="15.75" customHeight="1" x14ac:dyDescent="0.2">
      <c r="B32" s="14" t="s">
        <v>34</v>
      </c>
      <c r="C32" s="54">
        <f t="shared" ref="C32:O32" si="3">frac_malaria_risk</f>
        <v>1</v>
      </c>
      <c r="D32" s="54">
        <f t="shared" si="3"/>
        <v>1</v>
      </c>
      <c r="E32" s="54">
        <f t="shared" si="3"/>
        <v>1</v>
      </c>
      <c r="F32" s="54">
        <f t="shared" si="3"/>
        <v>1</v>
      </c>
      <c r="G32" s="54">
        <f t="shared" si="3"/>
        <v>1</v>
      </c>
      <c r="H32" s="54">
        <f t="shared" si="3"/>
        <v>1</v>
      </c>
      <c r="I32" s="54">
        <f t="shared" si="3"/>
        <v>1</v>
      </c>
      <c r="J32" s="54">
        <f t="shared" si="3"/>
        <v>1</v>
      </c>
      <c r="K32" s="54">
        <f t="shared" si="3"/>
        <v>1</v>
      </c>
      <c r="L32" s="54">
        <f t="shared" si="3"/>
        <v>1</v>
      </c>
      <c r="M32" s="54">
        <f t="shared" si="3"/>
        <v>1</v>
      </c>
      <c r="N32" s="54">
        <f t="shared" si="3"/>
        <v>1</v>
      </c>
      <c r="O32" s="54">
        <f t="shared" si="3"/>
        <v>1</v>
      </c>
    </row>
    <row r="33" spans="1:15" ht="15.75" customHeight="1" x14ac:dyDescent="0.2">
      <c r="B33" s="52" t="s">
        <v>94</v>
      </c>
      <c r="C33" s="54">
        <v>1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  <c r="I33" s="54">
        <v>1</v>
      </c>
      <c r="J33" s="54">
        <v>1</v>
      </c>
      <c r="K33" s="54">
        <v>1</v>
      </c>
      <c r="L33" s="54">
        <v>1</v>
      </c>
      <c r="M33" s="54">
        <v>1</v>
      </c>
      <c r="N33" s="54">
        <v>1</v>
      </c>
      <c r="O33" s="54">
        <v>1</v>
      </c>
    </row>
    <row r="34" spans="1:15" ht="15.75" customHeight="1" x14ac:dyDescent="0.2">
      <c r="A34" s="5"/>
      <c r="B34" s="52" t="s">
        <v>93</v>
      </c>
      <c r="C34" s="54">
        <v>1</v>
      </c>
      <c r="D34" s="54">
        <v>1</v>
      </c>
      <c r="E34" s="54">
        <v>1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54">
        <v>1</v>
      </c>
    </row>
    <row r="35" spans="1:15" s="5" customFormat="1" ht="15.75" customHeight="1" x14ac:dyDescent="0.2">
      <c r="B35" s="52" t="s">
        <v>92</v>
      </c>
      <c r="C35" s="54">
        <v>1</v>
      </c>
      <c r="D35" s="54">
        <v>1</v>
      </c>
      <c r="E35" s="54">
        <v>1</v>
      </c>
      <c r="F35" s="54">
        <v>1</v>
      </c>
      <c r="G35" s="54">
        <v>1</v>
      </c>
      <c r="H35" s="54">
        <v>1</v>
      </c>
      <c r="I35" s="54">
        <v>1</v>
      </c>
      <c r="J35" s="54">
        <v>1</v>
      </c>
      <c r="K35" s="54">
        <v>1</v>
      </c>
      <c r="L35" s="54">
        <v>1</v>
      </c>
      <c r="M35" s="54">
        <v>1</v>
      </c>
      <c r="N35" s="54">
        <v>1</v>
      </c>
      <c r="O35" s="54">
        <v>1</v>
      </c>
    </row>
    <row r="36" spans="1:15" s="5" customFormat="1" ht="15.75" customHeight="1" x14ac:dyDescent="0.2">
      <c r="B36" s="52" t="s">
        <v>90</v>
      </c>
      <c r="C36" s="54">
        <v>1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  <c r="I36" s="54">
        <v>1</v>
      </c>
      <c r="J36" s="54">
        <v>1</v>
      </c>
      <c r="K36" s="54">
        <v>1</v>
      </c>
      <c r="L36" s="54">
        <v>1</v>
      </c>
      <c r="M36" s="54">
        <v>1</v>
      </c>
      <c r="N36" s="54">
        <v>1</v>
      </c>
      <c r="O36" s="54">
        <v>1</v>
      </c>
    </row>
    <row r="37" spans="1:15" s="5" customFormat="1" ht="15.75" customHeight="1" x14ac:dyDescent="0.2">
      <c r="B37" s="52" t="s">
        <v>91</v>
      </c>
      <c r="C37" s="54">
        <v>1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  <c r="I37" s="54">
        <v>1</v>
      </c>
      <c r="J37" s="54">
        <v>1</v>
      </c>
      <c r="K37" s="54">
        <v>1</v>
      </c>
      <c r="L37" s="54">
        <v>1</v>
      </c>
      <c r="M37" s="54">
        <v>1</v>
      </c>
      <c r="N37" s="54">
        <v>1</v>
      </c>
      <c r="O37" s="54">
        <v>1</v>
      </c>
    </row>
    <row r="38" spans="1:15" ht="15.75" customHeight="1" x14ac:dyDescent="0.2">
      <c r="B38" s="52"/>
    </row>
  </sheetData>
  <sortState ref="B13:O20">
    <sortCondition ref="B13:B20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H14" sqref="H14"/>
    </sheetView>
  </sheetViews>
  <sheetFormatPr defaultColWidth="11.42578125" defaultRowHeight="12.75" x14ac:dyDescent="0.2"/>
  <cols>
    <col min="1" max="1" width="33.7109375" style="56" customWidth="1"/>
    <col min="2" max="2" width="12.42578125" style="56" customWidth="1"/>
    <col min="3" max="4" width="11.42578125" style="56"/>
    <col min="5" max="5" width="17.42578125" style="56" customWidth="1"/>
    <col min="6" max="16384" width="11.42578125" style="56"/>
  </cols>
  <sheetData>
    <row r="1" spans="1:5" x14ac:dyDescent="0.2">
      <c r="A1" s="61" t="s">
        <v>179</v>
      </c>
      <c r="B1" s="61" t="s">
        <v>178</v>
      </c>
      <c r="C1" s="61" t="s">
        <v>177</v>
      </c>
      <c r="D1" s="61" t="s">
        <v>176</v>
      </c>
      <c r="E1" s="61" t="s">
        <v>175</v>
      </c>
    </row>
    <row r="2" spans="1:5" ht="14.25" x14ac:dyDescent="0.2">
      <c r="A2" s="60" t="s">
        <v>174</v>
      </c>
      <c r="B2" s="59">
        <v>0.9</v>
      </c>
      <c r="C2" s="58">
        <v>0.09</v>
      </c>
      <c r="D2" s="56">
        <v>0.8</v>
      </c>
      <c r="E2" s="56">
        <f t="shared" ref="E2:E10" si="0">C2*D2</f>
        <v>7.1999999999999995E-2</v>
      </c>
    </row>
    <row r="3" spans="1:5" ht="14.25" x14ac:dyDescent="0.2">
      <c r="A3" s="60" t="s">
        <v>173</v>
      </c>
      <c r="B3" s="59">
        <v>1</v>
      </c>
      <c r="C3" s="58">
        <v>0.02</v>
      </c>
      <c r="D3" s="56">
        <v>1.9</v>
      </c>
      <c r="E3" s="56">
        <f t="shared" si="0"/>
        <v>3.7999999999999999E-2</v>
      </c>
    </row>
    <row r="4" spans="1:5" ht="14.25" x14ac:dyDescent="0.2">
      <c r="A4" s="60" t="s">
        <v>172</v>
      </c>
      <c r="B4" s="59">
        <v>1</v>
      </c>
      <c r="C4" s="58">
        <v>0.08</v>
      </c>
      <c r="D4" s="56">
        <v>2</v>
      </c>
      <c r="E4" s="56">
        <f t="shared" si="0"/>
        <v>0.16</v>
      </c>
    </row>
    <row r="5" spans="1:5" ht="14.25" x14ac:dyDescent="0.2">
      <c r="A5" s="60" t="s">
        <v>171</v>
      </c>
      <c r="B5" s="59">
        <v>1</v>
      </c>
      <c r="C5" s="58">
        <v>0.18</v>
      </c>
      <c r="D5" s="56">
        <v>0.7</v>
      </c>
      <c r="E5" s="56">
        <f t="shared" si="0"/>
        <v>0.126</v>
      </c>
    </row>
    <row r="6" spans="1:5" ht="14.25" x14ac:dyDescent="0.2">
      <c r="A6" s="60" t="s">
        <v>170</v>
      </c>
      <c r="B6" s="59">
        <v>1</v>
      </c>
      <c r="C6" s="58">
        <v>0.02</v>
      </c>
      <c r="D6" s="56">
        <v>0.7</v>
      </c>
      <c r="E6" s="56">
        <f t="shared" si="0"/>
        <v>1.3999999999999999E-2</v>
      </c>
    </row>
    <row r="7" spans="1:5" ht="14.25" x14ac:dyDescent="0.2">
      <c r="A7" s="60" t="s">
        <v>169</v>
      </c>
      <c r="B7" s="59">
        <v>0.93</v>
      </c>
      <c r="C7" s="58">
        <v>0.45</v>
      </c>
      <c r="D7" s="56">
        <v>0.9</v>
      </c>
      <c r="E7" s="56">
        <f t="shared" si="0"/>
        <v>0.40500000000000003</v>
      </c>
    </row>
    <row r="8" spans="1:5" ht="14.25" x14ac:dyDescent="0.2">
      <c r="A8" s="60" t="s">
        <v>168</v>
      </c>
      <c r="B8" s="59">
        <v>0.5</v>
      </c>
      <c r="C8" s="58">
        <v>0.03</v>
      </c>
      <c r="D8" s="56">
        <v>0</v>
      </c>
      <c r="E8" s="56">
        <f t="shared" si="0"/>
        <v>0</v>
      </c>
    </row>
    <row r="9" spans="1:5" ht="14.25" x14ac:dyDescent="0.2">
      <c r="A9" s="60" t="s">
        <v>167</v>
      </c>
      <c r="B9" s="59">
        <v>0.5</v>
      </c>
      <c r="C9" s="58">
        <v>0.11</v>
      </c>
      <c r="D9" s="56">
        <v>0</v>
      </c>
      <c r="E9" s="56">
        <f t="shared" si="0"/>
        <v>0</v>
      </c>
    </row>
    <row r="10" spans="1:5" ht="14.25" x14ac:dyDescent="0.2">
      <c r="A10" s="60" t="s">
        <v>166</v>
      </c>
      <c r="B10" s="59">
        <v>0.98</v>
      </c>
      <c r="C10" s="58">
        <v>0.01</v>
      </c>
      <c r="D10" s="56">
        <v>0.6</v>
      </c>
      <c r="E10" s="56">
        <f t="shared" si="0"/>
        <v>6.0000000000000001E-3</v>
      </c>
    </row>
    <row r="11" spans="1:5" x14ac:dyDescent="0.2">
      <c r="C11" s="5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J40"/>
  <sheetViews>
    <sheetView zoomScale="85" zoomScaleNormal="85" workbookViewId="0">
      <selection activeCell="B2" sqref="B2"/>
    </sheetView>
  </sheetViews>
  <sheetFormatPr defaultColWidth="14.42578125" defaultRowHeight="15.75" customHeight="1" x14ac:dyDescent="0.2"/>
  <cols>
    <col min="1" max="1" width="8.42578125" style="15" customWidth="1"/>
    <col min="2" max="10" width="16.85546875" style="15" customWidth="1"/>
    <col min="11" max="16384" width="14.42578125" style="15"/>
  </cols>
  <sheetData>
    <row r="1" spans="1:10" s="28" customFormat="1" ht="30" customHeight="1" x14ac:dyDescent="0.2">
      <c r="A1" s="46" t="s">
        <v>0</v>
      </c>
      <c r="B1" s="36" t="s">
        <v>123</v>
      </c>
      <c r="C1" s="31" t="s">
        <v>124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125</v>
      </c>
      <c r="I1" s="31" t="s">
        <v>144</v>
      </c>
      <c r="J1" s="31" t="s">
        <v>36</v>
      </c>
    </row>
    <row r="2" spans="1:10" ht="15.75" customHeight="1" x14ac:dyDescent="0.2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 t="shared" ref="I2:I40" si="1">(B2 + stillbirth*B2/(1000-stillbirth))/(1-abortion)</f>
        <v>2480858.588708919</v>
      </c>
      <c r="J2" s="30">
        <f>H2-I2</f>
        <v>10889222.411291081</v>
      </c>
    </row>
    <row r="3" spans="1:10" ht="15.75" customHeight="1" x14ac:dyDescent="0.2">
      <c r="A3" s="9">
        <f t="shared" ref="A3:A40" si="2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si="1"/>
        <v>2527889.0832815999</v>
      </c>
      <c r="J3" s="30">
        <f t="shared" ref="J3:J15" si="3">H3-I3</f>
        <v>11314876.916718401</v>
      </c>
    </row>
    <row r="4" spans="1:10" ht="15.75" customHeight="1" x14ac:dyDescent="0.2">
      <c r="A4" s="9">
        <f t="shared" si="2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1"/>
        <v>2586677.2014974509</v>
      </c>
      <c r="J4" s="30">
        <f t="shared" si="3"/>
        <v>11742062.79850255</v>
      </c>
    </row>
    <row r="5" spans="1:10" ht="15.75" customHeight="1" x14ac:dyDescent="0.2">
      <c r="A5" s="9">
        <f t="shared" si="2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1"/>
        <v>2633707.6960701318</v>
      </c>
      <c r="J5" s="30">
        <f t="shared" si="3"/>
        <v>12188008.303929869</v>
      </c>
    </row>
    <row r="6" spans="1:10" ht="15.75" customHeight="1" x14ac:dyDescent="0.2">
      <c r="A6" s="9">
        <f t="shared" si="2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1"/>
        <v>2680738.1906428128</v>
      </c>
      <c r="J6" s="30">
        <f t="shared" si="3"/>
        <v>12645913.809357187</v>
      </c>
    </row>
    <row r="7" spans="1:10" ht="15.75" customHeight="1" x14ac:dyDescent="0.2">
      <c r="A7" s="9">
        <f t="shared" si="2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1"/>
        <v>2739526.3088586638</v>
      </c>
      <c r="J7" s="30">
        <f t="shared" si="3"/>
        <v>13098634.691141337</v>
      </c>
    </row>
    <row r="8" spans="1:10" ht="15.75" customHeight="1" x14ac:dyDescent="0.2">
      <c r="A8" s="9">
        <f t="shared" si="2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1"/>
        <v>2798314.4270745148</v>
      </c>
      <c r="J8" s="30">
        <f t="shared" si="3"/>
        <v>13560643.572925486</v>
      </c>
    </row>
    <row r="9" spans="1:10" ht="15.75" customHeight="1" x14ac:dyDescent="0.2">
      <c r="A9" s="9">
        <f t="shared" si="2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1"/>
        <v>2845344.9216471957</v>
      </c>
      <c r="J9" s="30">
        <f t="shared" si="3"/>
        <v>14048879.078352805</v>
      </c>
    </row>
    <row r="10" spans="1:10" ht="15.75" customHeight="1" x14ac:dyDescent="0.2">
      <c r="A10" s="9">
        <f t="shared" si="2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1"/>
        <v>2915890.6635062173</v>
      </c>
      <c r="J10" s="30">
        <f t="shared" si="3"/>
        <v>14530354.336493783</v>
      </c>
    </row>
    <row r="11" spans="1:10" ht="15.75" customHeight="1" x14ac:dyDescent="0.2">
      <c r="A11" s="9">
        <f t="shared" si="2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1"/>
        <v>2974678.7817220683</v>
      </c>
      <c r="J11" s="30">
        <f t="shared" si="3"/>
        <v>15032265.218277931</v>
      </c>
    </row>
    <row r="12" spans="1:10" ht="15.75" customHeight="1" x14ac:dyDescent="0.2">
      <c r="A12" s="9">
        <f t="shared" si="2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1"/>
        <v>3033466.8999379198</v>
      </c>
      <c r="J12" s="30">
        <f t="shared" si="3"/>
        <v>15550202.10006208</v>
      </c>
    </row>
    <row r="13" spans="1:10" ht="15.75" customHeight="1" x14ac:dyDescent="0.2">
      <c r="A13" s="9">
        <f t="shared" si="2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1"/>
        <v>3092255.0181537713</v>
      </c>
      <c r="J13" s="30">
        <f t="shared" si="3"/>
        <v>16082324.981846228</v>
      </c>
    </row>
    <row r="14" spans="1:10" ht="15.75" customHeight="1" x14ac:dyDescent="0.2">
      <c r="A14" s="9">
        <f t="shared" si="2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1"/>
        <v>3162800.7600127924</v>
      </c>
      <c r="J14" s="30">
        <f t="shared" si="3"/>
        <v>16613455.239987208</v>
      </c>
    </row>
    <row r="15" spans="1:10" ht="15.75" customHeight="1" x14ac:dyDescent="0.2">
      <c r="A15" s="9">
        <f t="shared" si="2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1"/>
        <v>3221588.8782286434</v>
      </c>
      <c r="J15" s="30">
        <f t="shared" si="3"/>
        <v>17165139.121771358</v>
      </c>
    </row>
    <row r="16" spans="1:10" ht="15.75" customHeight="1" x14ac:dyDescent="0.2">
      <c r="A16" s="9" t="str">
        <f t="shared" si="2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1"/>
        <v>0</v>
      </c>
      <c r="J16" s="30">
        <f t="shared" ref="J16:J40" si="4">H16-I16</f>
        <v>0</v>
      </c>
    </row>
    <row r="17" spans="1:10" ht="15.75" customHeight="1" x14ac:dyDescent="0.2">
      <c r="A17" s="9" t="str">
        <f t="shared" si="2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1"/>
        <v>0</v>
      </c>
      <c r="J17" s="30">
        <f t="shared" si="4"/>
        <v>0</v>
      </c>
    </row>
    <row r="18" spans="1:10" ht="15.75" customHeight="1" x14ac:dyDescent="0.2">
      <c r="A18" s="9" t="str">
        <f t="shared" si="2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1"/>
        <v>0</v>
      </c>
      <c r="J18" s="30">
        <f t="shared" si="4"/>
        <v>0</v>
      </c>
    </row>
    <row r="19" spans="1:10" ht="15.75" customHeight="1" x14ac:dyDescent="0.2">
      <c r="A19" s="9" t="str">
        <f t="shared" si="2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1"/>
        <v>0</v>
      </c>
      <c r="J19" s="30">
        <f t="shared" si="4"/>
        <v>0</v>
      </c>
    </row>
    <row r="20" spans="1:10" ht="15.75" customHeight="1" x14ac:dyDescent="0.2">
      <c r="A20" s="9" t="str">
        <f t="shared" si="2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1"/>
        <v>0</v>
      </c>
      <c r="J20" s="30">
        <f t="shared" si="4"/>
        <v>0</v>
      </c>
    </row>
    <row r="21" spans="1:10" ht="15.75" customHeight="1" x14ac:dyDescent="0.2">
      <c r="A21" s="9" t="str">
        <f t="shared" si="2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1"/>
        <v>0</v>
      </c>
      <c r="J21" s="30">
        <f t="shared" si="4"/>
        <v>0</v>
      </c>
    </row>
    <row r="22" spans="1:10" ht="15.75" customHeight="1" x14ac:dyDescent="0.2">
      <c r="A22" s="9" t="str">
        <f t="shared" si="2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1"/>
        <v>0</v>
      </c>
      <c r="J22" s="30">
        <f t="shared" si="4"/>
        <v>0</v>
      </c>
    </row>
    <row r="23" spans="1:10" ht="15.75" customHeight="1" x14ac:dyDescent="0.2">
      <c r="A23" s="9" t="str">
        <f t="shared" si="2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1"/>
        <v>0</v>
      </c>
      <c r="J23" s="30">
        <f t="shared" si="4"/>
        <v>0</v>
      </c>
    </row>
    <row r="24" spans="1:10" ht="15.75" customHeight="1" x14ac:dyDescent="0.2">
      <c r="A24" s="9" t="str">
        <f t="shared" si="2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1"/>
        <v>0</v>
      </c>
      <c r="J24" s="30">
        <f t="shared" si="4"/>
        <v>0</v>
      </c>
    </row>
    <row r="25" spans="1:10" ht="15.75" customHeight="1" x14ac:dyDescent="0.2">
      <c r="A25" s="9" t="str">
        <f t="shared" si="2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1"/>
        <v>0</v>
      </c>
      <c r="J25" s="30">
        <f t="shared" si="4"/>
        <v>0</v>
      </c>
    </row>
    <row r="26" spans="1:10" ht="15.75" customHeight="1" x14ac:dyDescent="0.2">
      <c r="A26" s="9" t="str">
        <f t="shared" si="2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1"/>
        <v>0</v>
      </c>
      <c r="J26" s="30">
        <f t="shared" si="4"/>
        <v>0</v>
      </c>
    </row>
    <row r="27" spans="1:10" ht="15.75" customHeight="1" x14ac:dyDescent="0.2">
      <c r="A27" s="9" t="str">
        <f t="shared" si="2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1"/>
        <v>0</v>
      </c>
      <c r="J27" s="30">
        <f t="shared" si="4"/>
        <v>0</v>
      </c>
    </row>
    <row r="28" spans="1:10" ht="15.75" customHeight="1" x14ac:dyDescent="0.2">
      <c r="A28" s="9" t="str">
        <f t="shared" si="2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1"/>
        <v>0</v>
      </c>
      <c r="J28" s="30">
        <f t="shared" si="4"/>
        <v>0</v>
      </c>
    </row>
    <row r="29" spans="1:10" ht="15.75" customHeight="1" x14ac:dyDescent="0.2">
      <c r="A29" s="9" t="str">
        <f t="shared" si="2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1"/>
        <v>0</v>
      </c>
      <c r="J29" s="30">
        <f t="shared" si="4"/>
        <v>0</v>
      </c>
    </row>
    <row r="30" spans="1:10" ht="15.75" customHeight="1" x14ac:dyDescent="0.2">
      <c r="A30" s="9" t="str">
        <f t="shared" si="2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1"/>
        <v>0</v>
      </c>
      <c r="J30" s="30">
        <f t="shared" si="4"/>
        <v>0</v>
      </c>
    </row>
    <row r="31" spans="1:10" ht="15.75" customHeight="1" x14ac:dyDescent="0.2">
      <c r="A31" s="9" t="str">
        <f t="shared" si="2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1"/>
        <v>0</v>
      </c>
      <c r="J31" s="30">
        <f t="shared" si="4"/>
        <v>0</v>
      </c>
    </row>
    <row r="32" spans="1:10" ht="15.75" customHeight="1" x14ac:dyDescent="0.2">
      <c r="A32" s="9" t="str">
        <f t="shared" si="2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1"/>
        <v>0</v>
      </c>
      <c r="J32" s="30">
        <f t="shared" si="4"/>
        <v>0</v>
      </c>
    </row>
    <row r="33" spans="1:10" ht="15.75" customHeight="1" x14ac:dyDescent="0.2">
      <c r="A33" s="9" t="str">
        <f t="shared" si="2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1"/>
        <v>0</v>
      </c>
      <c r="J33" s="30">
        <f t="shared" si="4"/>
        <v>0</v>
      </c>
    </row>
    <row r="34" spans="1:10" ht="15.75" customHeight="1" x14ac:dyDescent="0.2">
      <c r="A34" s="9" t="str">
        <f t="shared" si="2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1"/>
        <v>0</v>
      </c>
      <c r="J34" s="30">
        <f t="shared" si="4"/>
        <v>0</v>
      </c>
    </row>
    <row r="35" spans="1:10" ht="15.75" customHeight="1" x14ac:dyDescent="0.2">
      <c r="A35" s="9" t="str">
        <f t="shared" si="2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1"/>
        <v>0</v>
      </c>
      <c r="J35" s="30">
        <f t="shared" si="4"/>
        <v>0</v>
      </c>
    </row>
    <row r="36" spans="1:10" ht="15.75" customHeight="1" x14ac:dyDescent="0.2">
      <c r="A36" s="9" t="str">
        <f t="shared" si="2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1"/>
        <v>0</v>
      </c>
      <c r="J36" s="30">
        <f t="shared" si="4"/>
        <v>0</v>
      </c>
    </row>
    <row r="37" spans="1:10" ht="15.75" customHeight="1" x14ac:dyDescent="0.2">
      <c r="A37" s="9" t="str">
        <f t="shared" si="2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1"/>
        <v>0</v>
      </c>
      <c r="J37" s="30">
        <f t="shared" si="4"/>
        <v>0</v>
      </c>
    </row>
    <row r="38" spans="1:10" ht="15.75" customHeight="1" x14ac:dyDescent="0.2">
      <c r="A38" s="9" t="str">
        <f t="shared" si="2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1"/>
        <v>0</v>
      </c>
      <c r="J38" s="30">
        <f t="shared" si="4"/>
        <v>0</v>
      </c>
    </row>
    <row r="39" spans="1:10" ht="15.75" customHeight="1" x14ac:dyDescent="0.2">
      <c r="A39" s="9" t="str">
        <f t="shared" si="2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1"/>
        <v>0</v>
      </c>
      <c r="J39" s="30">
        <f t="shared" si="4"/>
        <v>0</v>
      </c>
    </row>
    <row r="40" spans="1:10" ht="15.75" customHeight="1" x14ac:dyDescent="0.2">
      <c r="A40" s="9" t="str">
        <f t="shared" si="2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1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27"/>
  <sheetViews>
    <sheetView zoomScale="115" zoomScaleNormal="115" workbookViewId="0">
      <selection activeCell="A2" sqref="A2"/>
    </sheetView>
  </sheetViews>
  <sheetFormatPr defaultColWidth="14.42578125" defaultRowHeight="15.75" customHeight="1" x14ac:dyDescent="0.2"/>
  <cols>
    <col min="1" max="1" width="31.28515625" customWidth="1"/>
    <col min="2" max="7" width="13" customWidth="1"/>
  </cols>
  <sheetData>
    <row r="1" spans="1:7" ht="27.75" customHeight="1" x14ac:dyDescent="0.2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2">
      <c r="A2" s="32" t="s">
        <v>74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2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2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2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2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2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2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2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2">
      <c r="A10" s="32" t="s">
        <v>72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2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2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2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2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2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2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2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2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2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2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2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2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2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2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2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2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2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A2" sqref="A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2">
      <c r="A2" s="6" t="s">
        <v>127</v>
      </c>
      <c r="B2" s="14" t="s">
        <v>129</v>
      </c>
      <c r="C2" s="49">
        <f>IFERROR(1-_xlfn.NORM.DIST(_xlfn.NORM.INV(SUM(C4:C5), 0, 1) + 1, 0, 1, TRUE), "")</f>
        <v>0.54471569980476653</v>
      </c>
      <c r="D2" s="49">
        <f>IFERROR(1-_xlfn.NORM.DIST(_xlfn.NORM.INV(SUM(D4:D5), 0, 1) + 1, 0, 1, TRUE), "")</f>
        <v>0.54471569980476653</v>
      </c>
      <c r="E2" s="49">
        <f>IFERROR(1-_xlfn.NORM.DIST(_xlfn.NORM.INV(SUM(E4:E5), 0, 1) + 1, 0, 1, TRUE), "")</f>
        <v>0.44982829694488635</v>
      </c>
      <c r="F2" s="49">
        <f>IFERROR(1-_xlfn.NORM.DIST(_xlfn.NORM.INV(SUM(F4:F5), 0, 1) + 1, 0, 1, TRUE), "")</f>
        <v>0.24457139941017503</v>
      </c>
      <c r="G2" s="49">
        <f>IFERROR(1-_xlfn.NORM.DIST(_xlfn.NORM.INV(SUM(G4:G5), 0, 1) + 1, 0, 1, TRUE), "")</f>
        <v>0.23269074767298425</v>
      </c>
    </row>
    <row r="3" spans="1:15" ht="15.75" customHeight="1" x14ac:dyDescent="0.2">
      <c r="A3" s="5"/>
      <c r="B3" s="14" t="s">
        <v>130</v>
      </c>
      <c r="C3" s="49">
        <f>IFERROR(_xlfn.NORM.DIST(_xlfn.NORM.INV(SUM(C4:C5), 0, 1) + 1, 0, 1, TRUE) - _xlfn.SUM(C4:C5), "")</f>
        <v>0.32228430019523346</v>
      </c>
      <c r="D3" s="49">
        <f>IFERROR(_xlfn.NORM.DIST(_xlfn.NORM.INV(SUM(D4:D5), 0, 1) + 1, 0, 1, TRUE) - _xlfn.SUM(D4:D5), "")</f>
        <v>0.32228430019523346</v>
      </c>
      <c r="E3" s="49">
        <f>IFERROR(_xlfn.NORM.DIST(_xlfn.NORM.INV(SUM(E4:E5), 0, 1) + 1, 0, 1, TRUE) - _xlfn.SUM(E4:E5), "")</f>
        <v>0.35908666207150708</v>
      </c>
      <c r="F3" s="49">
        <f>IFERROR(_xlfn.NORM.DIST(_xlfn.NORM.INV(SUM(F4:F5), 0, 1) + 1, 0, 1, TRUE) - _xlfn.SUM(F4:F5), "")</f>
        <v>0.37651189492768178</v>
      </c>
      <c r="G3" s="49">
        <f>IFERROR(_xlfn.NORM.DIST(_xlfn.NORM.INV(SUM(G4:G5), 0, 1) + 1, 0, 1, TRUE) - _xlfn.SUM(G4:G5), "")</f>
        <v>0.37372365733745416</v>
      </c>
    </row>
    <row r="4" spans="1:15" ht="15.75" customHeight="1" x14ac:dyDescent="0.2">
      <c r="A4" s="5"/>
      <c r="B4" s="14" t="s">
        <v>128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2">
      <c r="A5" s="5"/>
      <c r="B5" s="14" t="s">
        <v>131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2">
      <c r="B6" s="17"/>
      <c r="C6" s="40"/>
      <c r="D6" s="40"/>
      <c r="E6" s="40"/>
      <c r="F6" s="40"/>
      <c r="G6" s="40"/>
    </row>
    <row r="7" spans="1:15" ht="15.75" customHeight="1" x14ac:dyDescent="0.2">
      <c r="B7" s="17"/>
      <c r="C7" s="40"/>
      <c r="D7" s="40"/>
      <c r="E7" s="40"/>
      <c r="F7" s="40"/>
      <c r="G7" s="40"/>
    </row>
    <row r="8" spans="1:15" ht="15.75" customHeight="1" x14ac:dyDescent="0.2">
      <c r="A8" s="3" t="s">
        <v>126</v>
      </c>
      <c r="B8" s="9" t="s">
        <v>132</v>
      </c>
      <c r="C8" s="49">
        <f>IFERROR(1-_xlfn.NORM.DIST(_xlfn.NORM.INV(SUM(C10:C11), 0, 1) + 1, 0, 1, TRUE), "")</f>
        <v>0.6241955901533508</v>
      </c>
      <c r="D8" s="49">
        <f>IFERROR(1-_xlfn.NORM.DIST(_xlfn.NORM.INV(SUM(D10:D11), 0, 1) + 1, 0, 1, TRUE), "")</f>
        <v>0.6241955901533508</v>
      </c>
      <c r="E8" s="49">
        <f>IFERROR(1-_xlfn.NORM.DIST(_xlfn.NORM.INV(SUM(E10:E11), 0, 1) + 1, 0, 1, TRUE), "")</f>
        <v>0.68355843805440353</v>
      </c>
      <c r="F8" s="49">
        <f>IFERROR(1-_xlfn.NORM.DIST(_xlfn.NORM.INV(SUM(F10:F11), 0, 1) + 1, 0, 1, TRUE), "")</f>
        <v>0.73228840888273117</v>
      </c>
      <c r="G8" s="49">
        <f>IFERROR(1-_xlfn.NORM.DIST(_xlfn.NORM.INV(SUM(G10:G11), 0, 1) + 1, 0, 1, TRUE), "")</f>
        <v>0.81212055177975573</v>
      </c>
    </row>
    <row r="9" spans="1:15" ht="15.75" customHeight="1" x14ac:dyDescent="0.2">
      <c r="B9" s="9" t="s">
        <v>133</v>
      </c>
      <c r="C9" s="49">
        <f>IFERROR(_xlfn.NORM.DIST(_xlfn.NORM.INV(SUM(C10:C11), 0, 1) + 1, 0, 1, TRUE) - _xlfn.SUM(C10:C11), "")</f>
        <v>0.28180440984664923</v>
      </c>
      <c r="D9" s="49">
        <f>IFERROR(_xlfn.NORM.DIST(_xlfn.NORM.INV(SUM(D10:D11), 0, 1) + 1, 0, 1, TRUE) - _xlfn.SUM(D10:D11), "")</f>
        <v>0.28180440984664923</v>
      </c>
      <c r="E9" s="49">
        <f>IFERROR(_xlfn.NORM.DIST(_xlfn.NORM.INV(SUM(E10:E11), 0, 1) + 1, 0, 1, TRUE) - _xlfn.SUM(E10:E11), "")</f>
        <v>0.2466938696379041</v>
      </c>
      <c r="F9" s="49">
        <f>IFERROR(_xlfn.NORM.DIST(_xlfn.NORM.INV(SUM(F10:F11), 0, 1) + 1, 0, 1, TRUE) - _xlfn.SUM(F10:F11), "")</f>
        <v>0.21506846670192739</v>
      </c>
      <c r="G9" s="49">
        <f>IFERROR(_xlfn.NORM.DIST(_xlfn.NORM.INV(SUM(G10:G11), 0, 1) + 1, 0, 1, TRUE) - _xlfn.SUM(G10:G11), "")</f>
        <v>0.15821429221536368</v>
      </c>
    </row>
    <row r="10" spans="1:15" ht="15.75" customHeight="1" x14ac:dyDescent="0.2">
      <c r="B10" s="9" t="s">
        <v>134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2">
      <c r="B11" s="9" t="s">
        <v>135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2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">
      <c r="A13" s="15" t="s">
        <v>71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2">
      <c r="B14" s="19" t="s">
        <v>145</v>
      </c>
      <c r="C14" s="50">
        <v>0.1</v>
      </c>
      <c r="D14" s="50">
        <v>0.1</v>
      </c>
      <c r="E14" s="50">
        <v>0.78100000000000003</v>
      </c>
      <c r="F14" s="50">
        <v>0.72950000000000004</v>
      </c>
      <c r="G14" s="50">
        <v>0.48366666666666674</v>
      </c>
      <c r="H14" s="51">
        <v>0.47299999999999998</v>
      </c>
      <c r="I14" s="51">
        <v>0.44700000000000001</v>
      </c>
      <c r="J14" s="51">
        <v>0.433</v>
      </c>
      <c r="K14" s="51">
        <v>0.442</v>
      </c>
      <c r="L14" s="51">
        <v>0.47299999999999998</v>
      </c>
      <c r="M14" s="51">
        <v>0.44700000000000001</v>
      </c>
      <c r="N14" s="51">
        <v>0.433</v>
      </c>
      <c r="O14" s="51">
        <v>0.442</v>
      </c>
    </row>
    <row r="15" spans="1:15" ht="15.75" customHeight="1" x14ac:dyDescent="0.2">
      <c r="B15" s="19" t="s">
        <v>69</v>
      </c>
      <c r="C15" s="49">
        <f t="shared" ref="C15:O15" si="0">iron_deficiency_anaemia*C14</f>
        <v>4.2000000000000003E-2</v>
      </c>
      <c r="D15" s="49">
        <f t="shared" si="0"/>
        <v>4.2000000000000003E-2</v>
      </c>
      <c r="E15" s="49">
        <f t="shared" si="0"/>
        <v>0.32801999999999998</v>
      </c>
      <c r="F15" s="49">
        <f t="shared" si="0"/>
        <v>0.30639</v>
      </c>
      <c r="G15" s="49">
        <f t="shared" si="0"/>
        <v>0.20314000000000002</v>
      </c>
      <c r="H15" s="49">
        <f t="shared" si="0"/>
        <v>0.19865999999999998</v>
      </c>
      <c r="I15" s="49">
        <f t="shared" si="0"/>
        <v>0.18773999999999999</v>
      </c>
      <c r="J15" s="49">
        <f t="shared" si="0"/>
        <v>0.18185999999999999</v>
      </c>
      <c r="K15" s="49">
        <f t="shared" si="0"/>
        <v>0.18564</v>
      </c>
      <c r="L15" s="49">
        <f t="shared" si="0"/>
        <v>0.19865999999999998</v>
      </c>
      <c r="M15" s="49">
        <f t="shared" si="0"/>
        <v>0.18773999999999999</v>
      </c>
      <c r="N15" s="49">
        <f t="shared" si="0"/>
        <v>0.18185999999999999</v>
      </c>
      <c r="O15" s="49">
        <f t="shared" si="0"/>
        <v>0.18564</v>
      </c>
    </row>
    <row r="16" spans="1:15" ht="15.75" customHeight="1" x14ac:dyDescent="0.2">
      <c r="C16" s="10"/>
      <c r="D16" s="10"/>
      <c r="E16" s="10"/>
      <c r="F16" s="10"/>
      <c r="G16" s="10"/>
    </row>
    <row r="17" spans="3:7" ht="15.75" customHeight="1" x14ac:dyDescent="0.2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A2" sqref="A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2">
      <c r="A2" s="3" t="s">
        <v>24</v>
      </c>
      <c r="B2" s="65" t="s">
        <v>182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2">
      <c r="B3" s="65" t="s">
        <v>183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2">
      <c r="B4" s="65" t="s">
        <v>184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2">
      <c r="B5" s="65" t="s">
        <v>185</v>
      </c>
      <c r="C5" s="49">
        <f>1-SUM(C2:C4)</f>
        <v>1.0000000000000009E-2</v>
      </c>
      <c r="D5" s="49">
        <f t="shared" ref="D5:G5" si="0">1-SUM(D2:D4)</f>
        <v>2.4399366085578356E-2</v>
      </c>
      <c r="E5" s="49">
        <f t="shared" si="0"/>
        <v>1.8961838681699872E-2</v>
      </c>
      <c r="F5" s="49">
        <f t="shared" si="0"/>
        <v>0.27800000000000002</v>
      </c>
      <c r="G5" s="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154</v>
      </c>
      <c r="B1" s="4" t="s">
        <v>161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155</v>
      </c>
      <c r="B2" s="17" t="s">
        <v>159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2">
      <c r="B3" s="17"/>
    </row>
    <row r="4" spans="1:11" x14ac:dyDescent="0.2">
      <c r="A4" t="s">
        <v>156</v>
      </c>
      <c r="B4" s="17" t="s">
        <v>159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2">
      <c r="B5" s="17"/>
    </row>
    <row r="6" spans="1:11" x14ac:dyDescent="0.2">
      <c r="A6" t="s">
        <v>157</v>
      </c>
      <c r="B6" s="17" t="s">
        <v>159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2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2">
      <c r="B8" s="17" t="s">
        <v>160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2">
      <c r="A10" t="s">
        <v>158</v>
      </c>
      <c r="B10" s="19" t="s">
        <v>163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2">
      <c r="B11" s="53" t="s">
        <v>162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2">
      <c r="A13" s="15" t="s">
        <v>75</v>
      </c>
      <c r="B13" s="53" t="s">
        <v>164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2">
      <c r="B14" s="19" t="s">
        <v>186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C17"/>
  <sheetViews>
    <sheetView workbookViewId="0">
      <selection activeCell="C2" sqref="C2"/>
    </sheetView>
  </sheetViews>
  <sheetFormatPr defaultColWidth="11.42578125" defaultRowHeight="12.75" x14ac:dyDescent="0.2"/>
  <cols>
    <col min="1" max="1" width="37.140625" style="15" customWidth="1"/>
    <col min="2" max="2" width="44.28515625" style="15" customWidth="1"/>
    <col min="3" max="3" width="16.42578125" style="15" customWidth="1"/>
    <col min="4" max="16384" width="11.42578125" style="15"/>
  </cols>
  <sheetData>
    <row r="1" spans="1:3" s="44" customFormat="1" ht="60" customHeight="1" x14ac:dyDescent="0.2">
      <c r="A1" s="42" t="s">
        <v>137</v>
      </c>
      <c r="B1" s="63" t="s">
        <v>180</v>
      </c>
      <c r="C1" s="43" t="str">
        <f>"Percentage of births in category in baseline year ("&amp;start_year&amp;")"</f>
        <v>Percentage of births in category in baseline year (2017)</v>
      </c>
    </row>
    <row r="2" spans="1:3" ht="14.25" customHeight="1" x14ac:dyDescent="0.2">
      <c r="A2" s="11" t="s">
        <v>136</v>
      </c>
      <c r="B2" s="41" t="s">
        <v>76</v>
      </c>
      <c r="C2" s="45">
        <v>5.6000000000000001E-2</v>
      </c>
    </row>
    <row r="3" spans="1:3" ht="14.25" customHeight="1" x14ac:dyDescent="0.2">
      <c r="B3" s="41" t="s">
        <v>77</v>
      </c>
      <c r="C3" s="45">
        <v>5.0000000000000001E-3</v>
      </c>
    </row>
    <row r="4" spans="1:3" ht="14.25" customHeight="1" x14ac:dyDescent="0.2">
      <c r="B4" s="41" t="s">
        <v>78</v>
      </c>
      <c r="C4" s="45">
        <v>0</v>
      </c>
    </row>
    <row r="5" spans="1:3" ht="14.25" customHeight="1" x14ac:dyDescent="0.2">
      <c r="B5" s="41" t="s">
        <v>79</v>
      </c>
      <c r="C5" s="45">
        <v>0.152</v>
      </c>
    </row>
    <row r="6" spans="1:3" ht="14.25" customHeight="1" x14ac:dyDescent="0.2">
      <c r="B6" s="41" t="s">
        <v>80</v>
      </c>
      <c r="C6" s="45">
        <v>0.34200000000000003</v>
      </c>
    </row>
    <row r="7" spans="1:3" ht="14.25" customHeight="1" x14ac:dyDescent="0.2">
      <c r="B7" s="41" t="s">
        <v>81</v>
      </c>
      <c r="C7" s="45">
        <v>0.29899999999999999</v>
      </c>
    </row>
    <row r="8" spans="1:3" ht="14.25" customHeight="1" x14ac:dyDescent="0.2">
      <c r="B8" s="41" t="s">
        <v>82</v>
      </c>
      <c r="C8" s="45">
        <v>1E-3</v>
      </c>
    </row>
    <row r="9" spans="1:3" ht="14.25" customHeight="1" x14ac:dyDescent="0.2">
      <c r="B9" s="41" t="s">
        <v>83</v>
      </c>
      <c r="C9" s="45">
        <v>5.0000000000000001E-3</v>
      </c>
    </row>
    <row r="10" spans="1:3" ht="14.25" customHeight="1" x14ac:dyDescent="0.2">
      <c r="B10" s="41" t="s">
        <v>84</v>
      </c>
      <c r="C10" s="45">
        <v>0.14099999999999999</v>
      </c>
    </row>
    <row r="11" spans="1:3" ht="14.25" customHeight="1" x14ac:dyDescent="0.2">
      <c r="B11" s="48" t="s">
        <v>143</v>
      </c>
      <c r="C11" s="47">
        <f>SUM(C2:C10)</f>
        <v>1.0010000000000001</v>
      </c>
    </row>
    <row r="12" spans="1:3" ht="14.25" customHeight="1" x14ac:dyDescent="0.2">
      <c r="B12" s="44"/>
      <c r="C12" s="44"/>
    </row>
    <row r="13" spans="1:3" ht="14.25" customHeight="1" x14ac:dyDescent="0.2">
      <c r="A13" s="11" t="s">
        <v>85</v>
      </c>
      <c r="B13" s="41" t="s">
        <v>86</v>
      </c>
      <c r="C13" s="45">
        <v>0.20799999999999999</v>
      </c>
    </row>
    <row r="14" spans="1:3" ht="14.25" customHeight="1" x14ac:dyDescent="0.2">
      <c r="B14" s="41" t="s">
        <v>87</v>
      </c>
      <c r="C14" s="45">
        <v>3.5999999999999997E-2</v>
      </c>
    </row>
    <row r="15" spans="1:3" ht="14.25" customHeight="1" x14ac:dyDescent="0.2">
      <c r="B15" s="41" t="s">
        <v>88</v>
      </c>
      <c r="C15" s="45">
        <v>0.11899999999999999</v>
      </c>
    </row>
    <row r="16" spans="1:3" ht="14.25" customHeight="1" x14ac:dyDescent="0.2">
      <c r="B16" s="41" t="s">
        <v>89</v>
      </c>
      <c r="C16" s="45">
        <v>0.63700000000000001</v>
      </c>
    </row>
    <row r="17" spans="2:3" x14ac:dyDescent="0.2">
      <c r="B17" s="48" t="s">
        <v>143</v>
      </c>
      <c r="C17" s="47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7"/>
  <sheetViews>
    <sheetView zoomScale="115" zoomScaleNormal="115" workbookViewId="0">
      <selection activeCell="A8" sqref="A8"/>
    </sheetView>
  </sheetViews>
  <sheetFormatPr defaultColWidth="11.42578125" defaultRowHeight="12.75" x14ac:dyDescent="0.2"/>
  <cols>
    <col min="1" max="1" width="17" style="56" customWidth="1"/>
    <col min="2" max="2" width="19.140625" style="56" customWidth="1"/>
    <col min="3" max="3" width="13.42578125" style="56" customWidth="1"/>
    <col min="4" max="16384" width="11.42578125" style="56"/>
  </cols>
  <sheetData>
    <row r="1" spans="1:5" x14ac:dyDescent="0.2">
      <c r="A1" s="72" t="s">
        <v>194</v>
      </c>
      <c r="B1" s="73" t="s">
        <v>193</v>
      </c>
      <c r="C1" s="73" t="s">
        <v>192</v>
      </c>
      <c r="D1" s="73" t="s">
        <v>191</v>
      </c>
      <c r="E1" s="73" t="s">
        <v>190</v>
      </c>
    </row>
    <row r="2" spans="1:5" x14ac:dyDescent="0.2">
      <c r="A2" s="71" t="s">
        <v>189</v>
      </c>
      <c r="B2" s="68" t="s">
        <v>32</v>
      </c>
      <c r="C2" s="70"/>
      <c r="D2" s="70"/>
      <c r="E2" s="90" t="str">
        <f>IF(E$7="","",E$7)</f>
        <v/>
      </c>
    </row>
    <row r="3" spans="1:5" x14ac:dyDescent="0.2">
      <c r="A3" s="69"/>
      <c r="B3" s="68" t="s">
        <v>1</v>
      </c>
      <c r="C3" s="70"/>
      <c r="D3" s="70" t="s">
        <v>215</v>
      </c>
      <c r="E3" s="90" t="str">
        <f>IF(E$7="","",E$7)</f>
        <v/>
      </c>
    </row>
    <row r="4" spans="1:5" x14ac:dyDescent="0.2">
      <c r="A4" s="69"/>
      <c r="B4" s="68" t="s">
        <v>2</v>
      </c>
      <c r="C4" s="70"/>
      <c r="D4" s="70" t="s">
        <v>215</v>
      </c>
      <c r="E4" s="90" t="str">
        <f>IF(E$7="","",E$7)</f>
        <v/>
      </c>
    </row>
    <row r="5" spans="1:5" x14ac:dyDescent="0.2">
      <c r="A5" s="69"/>
      <c r="B5" s="68" t="s">
        <v>3</v>
      </c>
      <c r="C5" s="70"/>
      <c r="D5" s="70" t="s">
        <v>215</v>
      </c>
      <c r="E5" s="90" t="str">
        <f>IF(E$7="","",E$7)</f>
        <v/>
      </c>
    </row>
    <row r="6" spans="1:5" x14ac:dyDescent="0.2">
      <c r="A6" s="69"/>
      <c r="B6" s="68" t="s">
        <v>4</v>
      </c>
      <c r="C6" s="70"/>
      <c r="D6" s="70" t="s">
        <v>215</v>
      </c>
      <c r="E6" s="90" t="str">
        <f>IF(E$7="","",E$7)</f>
        <v/>
      </c>
    </row>
    <row r="7" spans="1:5" x14ac:dyDescent="0.2">
      <c r="A7" s="69"/>
      <c r="B7" s="68" t="s">
        <v>188</v>
      </c>
      <c r="C7" s="67"/>
      <c r="D7" s="66"/>
      <c r="E7" s="70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4" sqref="D4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94" t="s">
        <v>180</v>
      </c>
      <c r="B1" s="73" t="s">
        <v>200</v>
      </c>
      <c r="C1" s="95" t="s">
        <v>201</v>
      </c>
      <c r="D1" s="95" t="s">
        <v>205</v>
      </c>
    </row>
    <row r="2" spans="1:4" x14ac:dyDescent="0.2">
      <c r="A2" s="95" t="s">
        <v>70</v>
      </c>
      <c r="B2" s="68" t="s">
        <v>67</v>
      </c>
      <c r="C2" s="68" t="s">
        <v>202</v>
      </c>
      <c r="D2" s="70" t="s">
        <v>215</v>
      </c>
    </row>
    <row r="3" spans="1:4" x14ac:dyDescent="0.2">
      <c r="A3" s="95" t="s">
        <v>204</v>
      </c>
      <c r="B3" s="68" t="s">
        <v>192</v>
      </c>
      <c r="C3" s="68" t="s">
        <v>203</v>
      </c>
      <c r="D3" s="70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42</vt:i4>
      </vt:variant>
    </vt:vector>
  </HeadingPairs>
  <TitlesOfParts>
    <vt:vector size="58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Fertility risks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2017-08-01T10:42:13Z</dcterms:created>
  <dcterms:modified xsi:type="dcterms:W3CDTF">2018-07-12T21:17:01Z</dcterms:modified>
</cp:coreProperties>
</file>