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Nutrition\applications\master\data\national\"/>
    </mc:Choice>
  </mc:AlternateContent>
  <bookViews>
    <workbookView xWindow="1660" yWindow="-20740" windowWidth="27100" windowHeight="18820" tabRatio="961" activeTab="1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Fertility risks" sheetId="42" r:id="rId7"/>
    <sheet name="IYCF packages" sheetId="55" r:id="rId8"/>
    <sheet name="Treatment of SAM" sheetId="60" r:id="rId9"/>
    <sheet name="Programs cost and coverage" sheetId="56" r:id="rId10"/>
    <sheet name="IYCF cost" sheetId="57" r:id="rId11"/>
    <sheet name="Program dependencies" sheetId="58" r:id="rId12"/>
    <sheet name="Reference programs" sheetId="59" r:id="rId13"/>
    <sheet name="Incidence of conditions" sheetId="7" r:id="rId14"/>
    <sheet name="Programs target population" sheetId="21" r:id="rId15"/>
    <sheet name="Programs family planning" sheetId="54" r:id="rId16"/>
  </sheets>
  <definedNames>
    <definedName name="abortion" localSheetId="7">'Baseline year population inputs'!$C$30</definedName>
    <definedName name="abortion">'Baseline year population inputs'!$C$33</definedName>
    <definedName name="comm_deliv">'Treatment of SAM'!$D$3</definedName>
    <definedName name="end_year">'Baseline year population inputs'!$C$4</definedName>
    <definedName name="famplan_unmet_need">'Baseline year population inputs'!$C$12</definedName>
    <definedName name="food_insecure">'Baseline year population inputs'!$C$7</definedName>
    <definedName name="frac_children_health_facility">'Baseline year population inputs'!$C$11</definedName>
    <definedName name="frac_diarrhea_severe">'Baseline year population inputs'!$C$50</definedName>
    <definedName name="frac_maize">'Baseline year population inputs'!$C$18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inputs'!$C$52</definedName>
    <definedName name="frac_other_staples">'Baseline year population inputs'!$C$19</definedName>
    <definedName name="frac_PW_health_facility">'Baseline year population inputs'!$C$10</definedName>
    <definedName name="frac_rice">'Baseline year population inputs'!$C$16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inputs'!$C$53</definedName>
    <definedName name="frac_subsistence_farming">'Baseline year population inputs'!$C$15</definedName>
    <definedName name="frac_wheat">'Baseline year population inputs'!$C$17</definedName>
    <definedName name="infant_mortality">'Baseline year population inputs'!$C$30</definedName>
    <definedName name="iron_deficiency_anaemia">'Baseline year population inputs'!$C$51</definedName>
    <definedName name="manage_mam">'Treatment of SAM'!$D$2</definedName>
    <definedName name="maternal_mortality">'Baseline year population inputs'!$C$32</definedName>
    <definedName name="neonatal_mortality">'Baseline year population inputs'!$C$29</definedName>
    <definedName name="Percentage_of_pregnant_women_attending_health_facility">'Baseline year population inputs'!$C$10</definedName>
    <definedName name="preterm_AGA">'Baseline year population inputs'!$C$38</definedName>
    <definedName name="preterm_SGA">'Baseline year population inputs'!$C$37</definedName>
    <definedName name="school_attendance">'Baseline year population inputs'!$C$9</definedName>
    <definedName name="start_year">'Baseline year population inputs'!$C$3</definedName>
    <definedName name="stillbirth" localSheetId="7">'Baseline year population inputs'!$C$31</definedName>
    <definedName name="stillbirth">'Baseline year population inputs'!$C$34</definedName>
    <definedName name="term_AGA">'Baseline year population inputs'!$C$40</definedName>
    <definedName name="term_SGA">'Baseline year population inputs'!$C$39</definedName>
    <definedName name="U5_mortality">'Baseline year population inputs'!$C$31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3" i="2"/>
  <c r="A2" i="2"/>
  <c r="I16" i="2" l="1"/>
  <c r="J16" i="2"/>
  <c r="L16" i="2" s="1"/>
  <c r="K16" i="2"/>
  <c r="I17" i="2"/>
  <c r="J17" i="2"/>
  <c r="L17" i="2" s="1"/>
  <c r="K17" i="2"/>
  <c r="I18" i="2"/>
  <c r="J18" i="2"/>
  <c r="L18" i="2" s="1"/>
  <c r="K18" i="2"/>
  <c r="I19" i="2"/>
  <c r="J19" i="2"/>
  <c r="L19" i="2" s="1"/>
  <c r="K19" i="2"/>
  <c r="I20" i="2"/>
  <c r="L20" i="2" s="1"/>
  <c r="J20" i="2"/>
  <c r="K20" i="2"/>
  <c r="I21" i="2"/>
  <c r="J21" i="2"/>
  <c r="L21" i="2" s="1"/>
  <c r="K21" i="2"/>
  <c r="I22" i="2"/>
  <c r="L22" i="2" s="1"/>
  <c r="J22" i="2"/>
  <c r="K22" i="2"/>
  <c r="I23" i="2"/>
  <c r="J23" i="2"/>
  <c r="L23" i="2" s="1"/>
  <c r="K23" i="2"/>
  <c r="I24" i="2"/>
  <c r="L24" i="2" s="1"/>
  <c r="J24" i="2"/>
  <c r="K24" i="2"/>
  <c r="I25" i="2"/>
  <c r="J25" i="2"/>
  <c r="L25" i="2" s="1"/>
  <c r="K25" i="2"/>
  <c r="I26" i="2"/>
  <c r="L26" i="2" s="1"/>
  <c r="J26" i="2"/>
  <c r="K26" i="2"/>
  <c r="I27" i="2"/>
  <c r="J27" i="2"/>
  <c r="L27" i="2" s="1"/>
  <c r="K27" i="2"/>
  <c r="I28" i="2"/>
  <c r="L28" i="2" s="1"/>
  <c r="J28" i="2"/>
  <c r="K28" i="2"/>
  <c r="I29" i="2"/>
  <c r="J29" i="2"/>
  <c r="L29" i="2" s="1"/>
  <c r="K29" i="2"/>
  <c r="I30" i="2"/>
  <c r="L30" i="2" s="1"/>
  <c r="J30" i="2"/>
  <c r="K30" i="2"/>
  <c r="I31" i="2"/>
  <c r="J31" i="2"/>
  <c r="L31" i="2" s="1"/>
  <c r="K31" i="2"/>
  <c r="I32" i="2"/>
  <c r="L32" i="2" s="1"/>
  <c r="J32" i="2"/>
  <c r="K32" i="2"/>
  <c r="I33" i="2"/>
  <c r="J33" i="2"/>
  <c r="L33" i="2" s="1"/>
  <c r="K33" i="2"/>
  <c r="I34" i="2"/>
  <c r="L34" i="2" s="1"/>
  <c r="J34" i="2"/>
  <c r="K34" i="2"/>
  <c r="I35" i="2"/>
  <c r="J35" i="2"/>
  <c r="L35" i="2" s="1"/>
  <c r="K35" i="2"/>
  <c r="I36" i="2"/>
  <c r="L36" i="2" s="1"/>
  <c r="J36" i="2"/>
  <c r="K36" i="2"/>
  <c r="I37" i="2"/>
  <c r="J37" i="2"/>
  <c r="L37" i="2" s="1"/>
  <c r="K37" i="2"/>
  <c r="I38" i="2"/>
  <c r="L38" i="2" s="1"/>
  <c r="J38" i="2"/>
  <c r="K38" i="2"/>
  <c r="I39" i="2"/>
  <c r="J39" i="2"/>
  <c r="L39" i="2" s="1"/>
  <c r="K39" i="2"/>
  <c r="I40" i="2"/>
  <c r="L40" i="2" s="1"/>
  <c r="J40" i="2"/>
  <c r="K40" i="2"/>
  <c r="I16" i="21" l="1"/>
  <c r="J16" i="21"/>
  <c r="K16" i="21"/>
  <c r="H16" i="21"/>
  <c r="K15" i="21"/>
  <c r="J15" i="21"/>
  <c r="I15" i="21"/>
  <c r="H15" i="21"/>
  <c r="E8" i="21" l="1"/>
  <c r="F8" i="21"/>
  <c r="G8" i="21"/>
  <c r="D8" i="21"/>
  <c r="D29" i="56"/>
  <c r="I20" i="21" l="1"/>
  <c r="J20" i="21"/>
  <c r="K20" i="21"/>
  <c r="H20" i="21"/>
  <c r="F5" i="21"/>
  <c r="G5" i="21"/>
  <c r="E5" i="21"/>
  <c r="F4" i="21"/>
  <c r="E4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E9" i="55"/>
  <c r="E10" i="55"/>
  <c r="E11" i="55"/>
  <c r="E12" i="55"/>
  <c r="E13" i="55"/>
  <c r="E16" i="55"/>
  <c r="E17" i="55"/>
  <c r="E18" i="55"/>
  <c r="E19" i="55"/>
  <c r="E20" i="55"/>
  <c r="D20" i="56"/>
  <c r="D19" i="56"/>
  <c r="C2" i="57" l="1"/>
  <c r="D2" i="57"/>
  <c r="C3" i="57"/>
  <c r="D3" i="57"/>
  <c r="C4" i="57"/>
  <c r="D4" i="57"/>
  <c r="C5" i="57"/>
  <c r="D5" i="57"/>
  <c r="C6" i="57"/>
  <c r="D6" i="57"/>
  <c r="D5" i="56"/>
  <c r="D6" i="56"/>
  <c r="D2" i="5" l="1"/>
  <c r="E2" i="5"/>
  <c r="F2" i="5"/>
  <c r="G2" i="5"/>
  <c r="D3" i="5"/>
  <c r="E3" i="5"/>
  <c r="F3" i="5"/>
  <c r="G3" i="5"/>
  <c r="C3" i="5"/>
  <c r="C2" i="5"/>
  <c r="D8" i="5"/>
  <c r="E8" i="5"/>
  <c r="F8" i="5"/>
  <c r="G8" i="5"/>
  <c r="D9" i="5"/>
  <c r="E9" i="5"/>
  <c r="F9" i="5"/>
  <c r="G9" i="5"/>
  <c r="C9" i="5"/>
  <c r="C8" i="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3" i="21"/>
  <c r="J13" i="21"/>
  <c r="I13" i="21"/>
  <c r="H13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7" i="21"/>
  <c r="J17" i="21"/>
  <c r="I17" i="21"/>
  <c r="H17" i="21"/>
  <c r="F7" i="21"/>
  <c r="E7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17" i="42"/>
  <c r="C11" i="42"/>
  <c r="C40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2" i="2"/>
  <c r="C19" i="1"/>
  <c r="C10" i="4" l="1"/>
  <c r="I3" i="2"/>
  <c r="L3" i="2" s="1"/>
  <c r="I4" i="2"/>
  <c r="L4" i="2" s="1"/>
  <c r="I5" i="2"/>
  <c r="K5" i="2" s="1"/>
  <c r="I6" i="2"/>
  <c r="L6" i="2" s="1"/>
  <c r="I7" i="2"/>
  <c r="L7" i="2" s="1"/>
  <c r="I8" i="2"/>
  <c r="L8" i="2" s="1"/>
  <c r="I9" i="2"/>
  <c r="L9" i="2" s="1"/>
  <c r="I10" i="2"/>
  <c r="L10" i="2" s="1"/>
  <c r="I11" i="2"/>
  <c r="L11" i="2" s="1"/>
  <c r="I12" i="2"/>
  <c r="L12" i="2" s="1"/>
  <c r="I13" i="2"/>
  <c r="K13" i="2" s="1"/>
  <c r="I14" i="2"/>
  <c r="L14" i="2" s="1"/>
  <c r="I15" i="2"/>
  <c r="K15" i="2" s="1"/>
  <c r="I2" i="2"/>
  <c r="K2" i="2" s="1"/>
  <c r="L5" i="2"/>
  <c r="K9" i="2" l="1"/>
  <c r="L13" i="2"/>
  <c r="K4" i="2"/>
  <c r="K12" i="2"/>
  <c r="K7" i="2"/>
  <c r="K11" i="2"/>
  <c r="K3" i="2"/>
  <c r="K8" i="2"/>
  <c r="L15" i="2"/>
  <c r="K6" i="2"/>
  <c r="K14" i="2"/>
  <c r="K10" i="2"/>
  <c r="L2" i="2"/>
  <c r="D18" i="56" l="1"/>
</calcChain>
</file>

<file path=xl/comments1.xml><?xml version="1.0" encoding="utf-8"?>
<comments xmlns="http://schemas.openxmlformats.org/spreadsheetml/2006/main">
  <authors>
    <author>Sam</author>
  </authors>
  <commentList>
    <comment ref="E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D29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idea what the added costs should be for community based delivery, so doesn't account for this currently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C2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2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0.5* unit cost of BFP</t>
        </r>
      </text>
    </comment>
    <comment ref="E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comments5.xml><?xml version="1.0" encoding="utf-8"?>
<comments xmlns="http://schemas.openxmlformats.org/spreadsheetml/2006/main">
  <authors>
    <author>Sam</author>
  </authors>
  <commentList>
    <comment ref="B3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1.6  (p. 147). Assuming the same to be true for moderate wasting.</t>
        </r>
      </text>
    </comment>
  </commentList>
</comments>
</file>

<file path=xl/comments6.xml><?xml version="1.0" encoding="utf-8"?>
<comments xmlns="http://schemas.openxmlformats.org/spreadsheetml/2006/main">
  <authors>
    <author>Sam</author>
  </authors>
  <commentList>
    <comment ref="L22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100% of all non-pregnant WRA?</t>
        </r>
      </text>
    </comment>
    <comment ref="L24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Removed all (1-fracmalaria) for now, think about long term solution</t>
        </r>
      </text>
    </comment>
  </commentList>
</comments>
</file>

<file path=xl/comments7.xml><?xml version="1.0" encoding="utf-8"?>
<comments xmlns="http://schemas.openxmlformats.org/spreadsheetml/2006/main">
  <authors>
    <author>Sam</author>
    <author>Ruth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  <comment ref="D2" authorId="1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Ruth made these numbers up</t>
        </r>
      </text>
    </comment>
  </commentList>
</comments>
</file>

<file path=xl/sharedStrings.xml><?xml version="1.0" encoding="utf-8"?>
<sst xmlns="http://schemas.openxmlformats.org/spreadsheetml/2006/main" count="362" uniqueCount="226">
  <si>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</si>
  <si>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</si>
  <si>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</si>
  <si>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</si>
  <si>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</si>
  <si>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</si>
  <si>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</si>
  <si>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</si>
  <si>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</si>
  <si>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</si>
  <si>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</si>
  <si>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</si>
  <si>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</si>
  <si>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</si>
  <si>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</si>
  <si>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</si>
  <si>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</si>
  <si>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</si>
  <si>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</si>
  <si>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</si>
  <si>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</si>
  <si>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</si>
  <si>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</si>
  <si>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</si>
  <si>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</si>
  <si>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</si>
  <si>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</si>
  <si>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</si>
  <si>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</si>
  <si>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</si>
  <si>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</si>
  <si>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</si>
  <si>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</si>
  <si>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</si>
  <si>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</si>
  <si>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</si>
  <si>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</si>
  <si>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</si>
  <si>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</si>
  <si>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</si>
  <si>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</si>
  <si>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</si>
  <si>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</si>
  <si>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</si>
  <si>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</si>
  <si>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</si>
  <si>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</si>
  <si>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</si>
  <si>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</si>
  <si>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</si>
  <si>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</si>
  <si>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</si>
  <si>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</si>
  <si>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</si>
  <si>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</si>
  <si>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</si>
  <si>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</si>
  <si>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</si>
  <si>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</si>
  <si>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</si>
  <si>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</si>
  <si>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</si>
  <si>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</si>
  <si>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</si>
  <si>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</si>
  <si>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</si>
  <si>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</si>
  <si>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</si>
  <si>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Family Planning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</si>
  <si>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</si>
  <si>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</si>
  <si>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</si>
  <si>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</si>
  <si>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</si>
  <si>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</si>
  <si>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</si>
  <si>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</si>
  <si>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</si>
  <si>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</si>
  <si>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</si>
  <si>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</si>
  <si>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</si>
  <si>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</si>
  <si>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</si>
  <si>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</si>
  <si>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</si>
  <si>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</si>
  <si>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</si>
  <si>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</si>
  <si>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</si>
  <si>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</si>
  <si>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</si>
  <si>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</si>
  <si>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</si>
  <si>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</si>
  <si>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</si>
  <si>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</si>
  <si>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</si>
  <si>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</si>
  <si>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</si>
  <si>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</si>
  <si>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</si>
  <si>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</si>
  <si>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</si>
  <si>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</si>
  <si>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</si>
  <si>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</si>
  <si>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</si>
  <si>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</si>
  <si>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</si>
  <si>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</si>
  <si>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</si>
  <si>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</si>
  <si>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</si>
  <si>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</si>
  <si>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</si>
  <si>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</si>
  <si>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</si>
  <si>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</si>
  <si>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</si>
  <si>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</si>
  <si>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</si>
  <si>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</si>
  <si>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</si>
  <si>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Total population</t>
  </si>
  <si>
    <t>Number of births</t>
  </si>
  <si>
    <t>Children under 5</t>
  </si>
  <si>
    <t>Total WRA</t>
  </si>
  <si>
    <t>Percentage of deaths in baseline year attributable to cause</t>
  </si>
  <si>
    <t>Percentage of children in each category in baseline year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</si>
  <si>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</si>
  <si>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</si>
  <si>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</si>
  <si>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</si>
  <si>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</si>
  <si>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</si>
  <si>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</si>
  <si>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</si>
  <si>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</si>
  <si>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</si>
  <si>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Percentage of births in category</t>
  </si>
  <si>
    <t>Birth age and order</t>
  </si>
  <si>
    <t>Type of risk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</si>
  <si>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</si>
  <si>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</si>
  <si>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</si>
  <si>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</si>
  <si>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</si>
  <si>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</si>
  <si>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Teenage percentage of WRA</t>
  </si>
  <si>
    <t>Estimated pregnant women</t>
  </si>
  <si>
    <t>Prevalence of anaemia</t>
  </si>
  <si>
    <t>Percentage of anaemia that is iron deficient</t>
  </si>
  <si>
    <t>Percentage of population in each category in baseline year</t>
  </si>
  <si>
    <t>Birth outcome distribution</t>
  </si>
  <si>
    <t>Other risks</t>
  </si>
  <si>
    <t>Percentage of SAM cases that develop from MAM</t>
  </si>
  <si>
    <t>Percentage of SAM cases that only recover to MAM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</si>
  <si>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</si>
  <si>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</si>
  <si>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</si>
  <si>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</si>
  <si>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</si>
  <si>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</si>
  <si>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</si>
  <si>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</si>
  <si>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</si>
  <si>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</si>
  <si>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</si>
  <si>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</si>
  <si>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</si>
  <si>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</si>
  <si>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</si>
  <si>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</si>
  <si>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</si>
  <si>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</si>
  <si>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</si>
  <si>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</si>
  <si>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</si>
  <si>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</si>
  <si>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</si>
  <si>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</si>
  <si>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</si>
  <si>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</si>
  <si>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</si>
  <si>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</si>
  <si>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</si>
  <si>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</si>
  <si>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</si>
  <si>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</si>
  <si>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</si>
  <si>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</si>
  <si>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</si>
  <si>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</si>
  <si>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</si>
  <si>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</si>
  <si>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</si>
  <si>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x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</si>
  <si>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</si>
  <si>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</si>
  <si>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</si>
  <si>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</si>
  <si>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</si>
  <si>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</si>
  <si>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</si>
  <si>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unit cost</t>
  </si>
  <si>
    <t>saturation coverage of target population</t>
  </si>
  <si>
    <t>baseline coverage</t>
  </si>
  <si>
    <t>Unit costs by delivery modality and target population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</si>
  <si>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</si>
  <si>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</si>
  <si>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</si>
  <si>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</si>
  <si>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</si>
  <si>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</si>
  <si>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</si>
  <si>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</si>
  <si>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</si>
  <si>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</si>
  <si>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</si>
  <si>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</si>
  <si>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</si>
  <si>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</si>
  <si>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</si>
  <si>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Start year</t>
  </si>
  <si>
    <t>End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</si>
</sst>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rgb="FF000000"/>
      <name val="Cambria"/>
      <family val="1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106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4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4" fillId="2" borderId="1" xfId="0" applyNumberFormat="1" applyFont="1" applyFill="1" applyBorder="1" applyAlignment="1"/>
    <xf numFmtId="165" fontId="9" fillId="4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4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6" fontId="9" fillId="4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167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4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7" fontId="9" fillId="4" borderId="1" xfId="10" applyNumberFormat="1" applyFont="1" applyFill="1" applyBorder="1" applyAlignment="1">
      <alignment horizontal="right"/>
    </xf>
    <xf numFmtId="167" fontId="0" fillId="2" borderId="1" xfId="0" applyNumberFormat="1" applyFont="1" applyFill="1" applyBorder="1" applyAlignment="1"/>
    <xf numFmtId="167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4" borderId="0" xfId="0" applyNumberFormat="1" applyFont="1" applyFill="1" applyAlignment="1">
      <alignment horizontal="center"/>
    </xf>
    <xf numFmtId="0" fontId="9" fillId="4" borderId="0" xfId="0" applyFont="1" applyFill="1" applyAlignment="1">
      <alignment horizontal="center"/>
    </xf>
    <xf numFmtId="2" fontId="9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7" fillId="0" borderId="0" xfId="725" applyNumberFormat="1" applyFont="1" applyAlignment="1"/>
    <xf numFmtId="0" fontId="17" fillId="0" borderId="0" xfId="725" applyFont="1" applyAlignment="1"/>
    <xf numFmtId="0" fontId="8" fillId="0" borderId="0" xfId="725" applyFont="1" applyAlignment="1"/>
    <xf numFmtId="0" fontId="20" fillId="0" borderId="0" xfId="0" applyFont="1" applyFill="1" applyAlignment="1">
      <alignment horizontal="right"/>
    </xf>
    <xf numFmtId="0" fontId="20" fillId="0" borderId="0" xfId="0" applyFont="1" applyAlignment="1">
      <alignment horizontal="right" vertical="center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167" fontId="4" fillId="2" borderId="2" xfId="725" applyNumberFormat="1" applyFont="1" applyFill="1" applyBorder="1" applyAlignment="1">
      <alignment horizontal="right" vertical="center"/>
    </xf>
    <xf numFmtId="0" fontId="4" fillId="4" borderId="2" xfId="725" applyFont="1" applyFill="1" applyBorder="1" applyAlignment="1"/>
    <xf numFmtId="0" fontId="4" fillId="4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5" xfId="725" applyNumberFormat="1" applyFont="1" applyFill="1" applyBorder="1" applyAlignment="1">
      <alignment horizontal="right" vertical="center"/>
    </xf>
    <xf numFmtId="167" fontId="4" fillId="2" borderId="1" xfId="725" applyNumberFormat="1" applyFont="1" applyFill="1" applyBorder="1" applyAlignment="1">
      <alignment horizontal="right" vertical="center"/>
    </xf>
    <xf numFmtId="167" fontId="4" fillId="2" borderId="3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4" borderId="1" xfId="725" applyNumberFormat="1" applyFont="1" applyFill="1" applyBorder="1" applyAlignment="1"/>
    <xf numFmtId="0" fontId="3" fillId="0" borderId="0" xfId="725" applyFont="1" applyFill="1" applyBorder="1" applyAlignment="1"/>
    <xf numFmtId="0" fontId="3" fillId="0" borderId="0" xfId="725" applyFont="1" applyFill="1" applyAlignment="1"/>
    <xf numFmtId="0" fontId="24" fillId="0" borderId="0" xfId="725" applyFont="1" applyAlignment="1"/>
    <xf numFmtId="0" fontId="24" fillId="0" borderId="0" xfId="725" applyFont="1" applyFill="1" applyBorder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21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5" fillId="4" borderId="4" xfId="725" applyNumberFormat="1" applyFont="1" applyFill="1" applyBorder="1" applyAlignment="1"/>
    <xf numFmtId="167" fontId="25" fillId="4" borderId="5" xfId="725" applyNumberFormat="1" applyFont="1" applyFill="1" applyBorder="1" applyAlignment="1"/>
    <xf numFmtId="0" fontId="8" fillId="0" borderId="0" xfId="0" applyFont="1" applyFill="1" applyAlignment="1"/>
    <xf numFmtId="0" fontId="9" fillId="4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6" fillId="0" borderId="0" xfId="0" applyFont="1" applyFill="1" applyAlignment="1"/>
    <xf numFmtId="0" fontId="8" fillId="0" borderId="2" xfId="725" applyFont="1" applyBorder="1" applyAlignment="1"/>
    <xf numFmtId="0" fontId="4" fillId="2" borderId="1" xfId="10" applyNumberFormat="1" applyFont="1" applyFill="1" applyBorder="1" applyAlignment="1">
      <alignment horizontal="right"/>
    </xf>
    <xf numFmtId="0" fontId="4" fillId="2" borderId="1" xfId="10" applyNumberFormat="1" applyFont="1" applyFill="1" applyBorder="1" applyAlignment="1"/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4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57"/>
  <sheetViews>
    <sheetView zoomScaleNormal="100" workbookViewId="0">
      <selection activeCell="C5" sqref="C5"/>
    </sheetView>
  </sheetViews>
  <sheetFormatPr defaultColWidth="14.453125" defaultRowHeight="15.75" customHeight="1" x14ac:dyDescent="0.25"/>
  <cols>
    <col min="1" max="1" width="27.6328125" style="15" customWidth="1"/>
    <col min="2" max="2" width="38.6328125" style="19" customWidth="1"/>
    <col min="3" max="16384" width="14.453125" style="15"/>
  </cols>
  <sheetData>
    <row r="1" spans="1:3" ht="16" customHeight="1" x14ac:dyDescent="0.3">
      <c r="A1" s="1" t="s">
        <v>112</v>
      </c>
      <c r="B1" s="64" t="s">
        <v>187</v>
      </c>
      <c r="C1" s="64" t="s">
        <v>188</v>
      </c>
    </row>
    <row r="2" spans="1:3" ht="16" customHeight="1" x14ac:dyDescent="0.3">
      <c r="A2" s="15" t="s">
        <v>223</v>
      </c>
      <c r="B2" s="64"/>
      <c r="C2" s="64"/>
    </row>
    <row r="3" spans="1:3" ht="16" customHeight="1" x14ac:dyDescent="0.3">
      <c r="A3" s="1"/>
      <c r="B3" s="9" t="s">
        <v>224</v>
      </c>
      <c r="C3" s="104">
        <v>2017</v>
      </c>
    </row>
    <row r="4" spans="1:3" ht="16" customHeight="1" x14ac:dyDescent="0.3">
      <c r="A4" s="1"/>
      <c r="B4" s="12" t="s">
        <v>225</v>
      </c>
      <c r="C4" s="105">
        <v>2030</v>
      </c>
    </row>
    <row r="5" spans="1:3" ht="16" customHeight="1" x14ac:dyDescent="0.3">
      <c r="A5" s="1"/>
      <c r="B5" s="64"/>
      <c r="C5" s="64"/>
    </row>
    <row r="6" spans="1:3" ht="15" customHeight="1" x14ac:dyDescent="0.25">
      <c r="A6" s="15" t="s">
        <v>48</v>
      </c>
    </row>
    <row r="7" spans="1:3" ht="15" customHeight="1" x14ac:dyDescent="0.25">
      <c r="B7" s="9" t="s">
        <v>118</v>
      </c>
      <c r="C7" s="24">
        <v>0.36</v>
      </c>
    </row>
    <row r="8" spans="1:3" ht="15" customHeight="1" x14ac:dyDescent="0.25">
      <c r="B8" s="12" t="s">
        <v>119</v>
      </c>
      <c r="C8" s="23">
        <v>0.1</v>
      </c>
    </row>
    <row r="9" spans="1:3" ht="15" customHeight="1" x14ac:dyDescent="0.25">
      <c r="B9" s="12" t="s">
        <v>117</v>
      </c>
      <c r="C9" s="23">
        <v>0.35199999999999998</v>
      </c>
    </row>
    <row r="10" spans="1:3" ht="15" customHeight="1" x14ac:dyDescent="0.25">
      <c r="B10" s="9" t="s">
        <v>120</v>
      </c>
      <c r="C10" s="24">
        <v>0.5</v>
      </c>
    </row>
    <row r="11" spans="1:3" ht="15" customHeight="1" x14ac:dyDescent="0.25">
      <c r="B11" s="9" t="s">
        <v>121</v>
      </c>
      <c r="C11" s="24">
        <v>0.3</v>
      </c>
    </row>
    <row r="12" spans="1:3" ht="15" customHeight="1" x14ac:dyDescent="0.25">
      <c r="B12" s="9" t="s">
        <v>122</v>
      </c>
      <c r="C12" s="24">
        <v>0.1</v>
      </c>
    </row>
    <row r="13" spans="1:3" ht="15" customHeight="1" x14ac:dyDescent="0.25">
      <c r="B13" s="15"/>
    </row>
    <row r="14" spans="1:3" ht="15" customHeight="1" x14ac:dyDescent="0.3">
      <c r="A14" s="15" t="s">
        <v>30</v>
      </c>
      <c r="B14" s="22"/>
      <c r="C14" s="3"/>
    </row>
    <row r="15" spans="1:3" ht="15" customHeight="1" x14ac:dyDescent="0.25">
      <c r="B15" s="12" t="s">
        <v>106</v>
      </c>
      <c r="C15" s="23">
        <v>0.3</v>
      </c>
    </row>
    <row r="16" spans="1:3" ht="15" customHeight="1" x14ac:dyDescent="0.25">
      <c r="B16" s="12" t="s">
        <v>107</v>
      </c>
      <c r="C16" s="23">
        <v>0.8</v>
      </c>
    </row>
    <row r="17" spans="1:5" ht="15" customHeight="1" x14ac:dyDescent="0.25">
      <c r="B17" s="12" t="s">
        <v>108</v>
      </c>
      <c r="C17" s="23">
        <v>0.12</v>
      </c>
    </row>
    <row r="18" spans="1:5" ht="15" customHeight="1" x14ac:dyDescent="0.25">
      <c r="B18" s="12" t="s">
        <v>109</v>
      </c>
      <c r="C18" s="23">
        <v>0.05</v>
      </c>
    </row>
    <row r="19" spans="1:5" ht="15" customHeight="1" x14ac:dyDescent="0.25">
      <c r="B19" s="12" t="s">
        <v>110</v>
      </c>
      <c r="C19" s="26">
        <f>1-frac_rice-frac_wheat-frac_maize</f>
        <v>2.9999999999999957E-2</v>
      </c>
    </row>
    <row r="20" spans="1:5" ht="15" customHeight="1" x14ac:dyDescent="0.25">
      <c r="B20" s="15"/>
    </row>
    <row r="21" spans="1:5" ht="15" customHeight="1" x14ac:dyDescent="0.25">
      <c r="A21" s="15" t="s">
        <v>111</v>
      </c>
    </row>
    <row r="22" spans="1:5" ht="15" customHeight="1" x14ac:dyDescent="0.25">
      <c r="B22" s="27" t="s">
        <v>113</v>
      </c>
      <c r="C22" s="23">
        <v>0.29978973218277538</v>
      </c>
    </row>
    <row r="23" spans="1:5" ht="15" customHeight="1" x14ac:dyDescent="0.25">
      <c r="B23" s="27" t="s">
        <v>114</v>
      </c>
      <c r="C23" s="23">
        <v>0.52556568434139284</v>
      </c>
    </row>
    <row r="24" spans="1:5" ht="15" customHeight="1" x14ac:dyDescent="0.25">
      <c r="B24" s="27" t="s">
        <v>115</v>
      </c>
      <c r="C24" s="23">
        <v>0.16210210664201097</v>
      </c>
    </row>
    <row r="25" spans="1:5" ht="15" customHeight="1" x14ac:dyDescent="0.25">
      <c r="B25" s="27" t="s">
        <v>116</v>
      </c>
      <c r="C25" s="23">
        <v>1.2542476833820825E-2</v>
      </c>
    </row>
    <row r="26" spans="1:5" ht="15" customHeight="1" x14ac:dyDescent="0.25"/>
    <row r="27" spans="1:5" ht="15" customHeight="1" x14ac:dyDescent="0.3">
      <c r="A27" s="4" t="s">
        <v>158</v>
      </c>
    </row>
    <row r="28" spans="1:5" ht="15" customHeight="1" x14ac:dyDescent="0.25">
      <c r="A28" s="15" t="s">
        <v>75</v>
      </c>
      <c r="B28" s="9"/>
      <c r="C28" s="16"/>
    </row>
    <row r="29" spans="1:5" ht="15" customHeight="1" x14ac:dyDescent="0.25">
      <c r="B29" s="66" t="s">
        <v>104</v>
      </c>
      <c r="C29" s="25">
        <v>25.4</v>
      </c>
    </row>
    <row r="30" spans="1:5" ht="15" customHeight="1" x14ac:dyDescent="0.25">
      <c r="B30" s="19" t="s">
        <v>103</v>
      </c>
      <c r="C30" s="25">
        <v>34.68</v>
      </c>
      <c r="D30" s="20"/>
      <c r="E30" s="21"/>
    </row>
    <row r="31" spans="1:5" ht="15" customHeight="1" x14ac:dyDescent="0.25">
      <c r="B31" s="19" t="s">
        <v>102</v>
      </c>
      <c r="C31" s="25">
        <v>39.32</v>
      </c>
      <c r="D31" s="20"/>
      <c r="E31" s="20"/>
    </row>
    <row r="32" spans="1:5" ht="15" customHeight="1" x14ac:dyDescent="0.25">
      <c r="B32" s="19" t="s">
        <v>194</v>
      </c>
      <c r="C32" s="25">
        <v>1.76</v>
      </c>
    </row>
    <row r="33" spans="1:5" ht="15" customHeight="1" x14ac:dyDescent="0.25">
      <c r="B33" s="19" t="s">
        <v>101</v>
      </c>
      <c r="C33" s="23">
        <v>0.13</v>
      </c>
    </row>
    <row r="34" spans="1:5" ht="15" customHeight="1" x14ac:dyDescent="0.25">
      <c r="B34" s="66" t="s">
        <v>105</v>
      </c>
      <c r="C34" s="25">
        <v>25.36</v>
      </c>
    </row>
    <row r="35" spans="1:5" ht="15.75" customHeight="1" x14ac:dyDescent="0.25">
      <c r="D35" s="20"/>
    </row>
    <row r="36" spans="1:5" ht="15.75" customHeight="1" x14ac:dyDescent="0.25">
      <c r="A36" s="15" t="s">
        <v>154</v>
      </c>
      <c r="D36" s="20"/>
    </row>
    <row r="37" spans="1:5" ht="15.75" customHeight="1" x14ac:dyDescent="0.25">
      <c r="B37" s="19" t="s">
        <v>9</v>
      </c>
      <c r="C37" s="23">
        <v>3.1E-2</v>
      </c>
      <c r="D37" s="20"/>
    </row>
    <row r="38" spans="1:5" ht="15.75" customHeight="1" x14ac:dyDescent="0.25">
      <c r="B38" s="19" t="s">
        <v>11</v>
      </c>
      <c r="C38" s="23">
        <v>0.109</v>
      </c>
      <c r="D38" s="20"/>
    </row>
    <row r="39" spans="1:5" ht="15.75" customHeight="1" x14ac:dyDescent="0.25">
      <c r="B39" s="19" t="s">
        <v>12</v>
      </c>
      <c r="C39" s="23">
        <v>0.36499999999999999</v>
      </c>
      <c r="D39" s="20"/>
      <c r="E39" s="21"/>
    </row>
    <row r="40" spans="1:5" ht="15" customHeight="1" x14ac:dyDescent="0.25">
      <c r="B40" s="19" t="s">
        <v>26</v>
      </c>
      <c r="C40" s="26">
        <f>1-term_SGA-preterm_AGA-preterm_SGA</f>
        <v>0.495</v>
      </c>
      <c r="D40" s="20"/>
      <c r="E40" s="20"/>
    </row>
    <row r="41" spans="1:5" ht="15.75" customHeight="1" x14ac:dyDescent="0.25">
      <c r="D41" s="20"/>
    </row>
    <row r="42" spans="1:5" ht="15.75" customHeight="1" x14ac:dyDescent="0.25">
      <c r="A42" s="15" t="s">
        <v>73</v>
      </c>
      <c r="D42" s="20"/>
    </row>
    <row r="43" spans="1:5" ht="15.75" customHeight="1" x14ac:dyDescent="0.25">
      <c r="B43" s="19" t="s">
        <v>143</v>
      </c>
      <c r="C43" s="7">
        <v>2.4300000000000002</v>
      </c>
      <c r="D43" s="20"/>
    </row>
    <row r="44" spans="1:5" ht="15" customHeight="1" x14ac:dyDescent="0.25">
      <c r="B44" s="19" t="s">
        <v>144</v>
      </c>
      <c r="C44" s="7">
        <v>2.4300000000000002</v>
      </c>
    </row>
    <row r="45" spans="1:5" ht="15.75" customHeight="1" x14ac:dyDescent="0.25">
      <c r="B45" s="19" t="s">
        <v>145</v>
      </c>
      <c r="C45" s="7">
        <v>3.71</v>
      </c>
    </row>
    <row r="46" spans="1:5" ht="15.75" customHeight="1" x14ac:dyDescent="0.25">
      <c r="B46" s="19" t="s">
        <v>146</v>
      </c>
      <c r="C46" s="7">
        <v>3</v>
      </c>
    </row>
    <row r="47" spans="1:5" ht="15.75" customHeight="1" x14ac:dyDescent="0.25">
      <c r="B47" s="19" t="s">
        <v>147</v>
      </c>
      <c r="C47" s="7">
        <v>1.92</v>
      </c>
    </row>
    <row r="49" spans="1:3" ht="15.75" customHeight="1" x14ac:dyDescent="0.25">
      <c r="A49" s="15" t="s">
        <v>155</v>
      </c>
    </row>
    <row r="50" spans="1:3" ht="15.75" customHeight="1" x14ac:dyDescent="0.25">
      <c r="B50" s="9" t="s">
        <v>123</v>
      </c>
      <c r="C50" s="24">
        <v>0.2</v>
      </c>
    </row>
    <row r="51" spans="1:3" ht="15.75" customHeight="1" x14ac:dyDescent="0.25">
      <c r="B51" s="19" t="s">
        <v>152</v>
      </c>
      <c r="C51" s="24">
        <v>0.42</v>
      </c>
    </row>
    <row r="52" spans="1:3" ht="15.75" customHeight="1" x14ac:dyDescent="0.25">
      <c r="B52" s="19" t="s">
        <v>156</v>
      </c>
      <c r="C52" s="24">
        <v>0.9</v>
      </c>
    </row>
    <row r="53" spans="1:3" ht="15.75" customHeight="1" x14ac:dyDescent="0.25">
      <c r="B53" s="19" t="s">
        <v>157</v>
      </c>
      <c r="C53" s="24">
        <v>0.1</v>
      </c>
    </row>
    <row r="57" spans="1:3" ht="15.75" customHeight="1" x14ac:dyDescent="0.3">
      <c r="A57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8"/>
  <sheetViews>
    <sheetView workbookViewId="0">
      <selection activeCell="A15" sqref="A15"/>
    </sheetView>
  </sheetViews>
  <sheetFormatPr defaultColWidth="14.453125" defaultRowHeight="15.75" customHeight="1" x14ac:dyDescent="0.25"/>
  <cols>
    <col min="1" max="1" width="56" style="80" customWidth="1"/>
    <col min="2" max="2" width="20" style="59" customWidth="1"/>
    <col min="3" max="3" width="20.453125" style="58" customWidth="1"/>
    <col min="4" max="4" width="20.1796875" style="58" customWidth="1"/>
    <col min="5" max="16384" width="14.453125" style="58"/>
  </cols>
  <sheetData>
    <row r="1" spans="1:5" ht="26" x14ac:dyDescent="0.3">
      <c r="A1" s="90" t="s">
        <v>70</v>
      </c>
      <c r="B1" s="90" t="s">
        <v>207</v>
      </c>
      <c r="C1" s="89" t="s">
        <v>206</v>
      </c>
      <c r="D1" s="88" t="s">
        <v>205</v>
      </c>
    </row>
    <row r="2" spans="1:5" ht="15.75" customHeight="1" x14ac:dyDescent="0.25">
      <c r="A2" s="80" t="s">
        <v>29</v>
      </c>
      <c r="B2" s="81">
        <v>0</v>
      </c>
      <c r="C2" s="81">
        <v>0.95</v>
      </c>
      <c r="D2" s="82">
        <v>25</v>
      </c>
    </row>
    <row r="3" spans="1:5" ht="15.75" customHeight="1" x14ac:dyDescent="0.3">
      <c r="A3" s="80" t="s">
        <v>100</v>
      </c>
      <c r="B3" s="81">
        <v>0</v>
      </c>
      <c r="C3" s="81">
        <v>0.95</v>
      </c>
      <c r="D3" s="82">
        <v>0.8</v>
      </c>
      <c r="E3" s="87"/>
    </row>
    <row r="4" spans="1:5" ht="15.75" customHeight="1" x14ac:dyDescent="0.25">
      <c r="A4" s="80" t="s">
        <v>97</v>
      </c>
      <c r="B4" s="81">
        <v>0</v>
      </c>
      <c r="C4" s="81">
        <v>0.95</v>
      </c>
      <c r="D4" s="82">
        <v>1</v>
      </c>
      <c r="E4" s="67"/>
    </row>
    <row r="5" spans="1:5" ht="15.75" customHeight="1" x14ac:dyDescent="0.25">
      <c r="A5" s="80" t="s">
        <v>61</v>
      </c>
      <c r="B5" s="81">
        <v>0.1</v>
      </c>
      <c r="C5" s="81">
        <v>0.95</v>
      </c>
      <c r="D5" s="82">
        <f>180</f>
        <v>180</v>
      </c>
      <c r="E5" s="67"/>
    </row>
    <row r="6" spans="1:5" ht="15.75" customHeight="1" x14ac:dyDescent="0.3">
      <c r="A6" s="80" t="s">
        <v>68</v>
      </c>
      <c r="B6" s="81">
        <v>0.5</v>
      </c>
      <c r="C6" s="81">
        <v>0.95</v>
      </c>
      <c r="D6" s="83">
        <f>SUM('Programs family planning'!E2:E10)</f>
        <v>0.82100000000000006</v>
      </c>
      <c r="E6" s="86"/>
    </row>
    <row r="7" spans="1:5" ht="15.75" customHeight="1" x14ac:dyDescent="0.25">
      <c r="A7" s="80" t="s">
        <v>63</v>
      </c>
      <c r="B7" s="81">
        <v>0</v>
      </c>
      <c r="C7" s="81">
        <v>0.95</v>
      </c>
      <c r="D7" s="82">
        <v>0.14000000000000001</v>
      </c>
      <c r="E7" s="85"/>
    </row>
    <row r="8" spans="1:5" ht="15.75" customHeight="1" x14ac:dyDescent="0.25">
      <c r="A8" s="80" t="s">
        <v>64</v>
      </c>
      <c r="B8" s="81">
        <v>0</v>
      </c>
      <c r="C8" s="81">
        <v>0.95</v>
      </c>
      <c r="D8" s="82">
        <v>0.75</v>
      </c>
      <c r="E8" s="85"/>
    </row>
    <row r="9" spans="1:5" ht="15.75" customHeight="1" x14ac:dyDescent="0.25">
      <c r="A9" s="80" t="s">
        <v>62</v>
      </c>
      <c r="B9" s="81">
        <v>0</v>
      </c>
      <c r="C9" s="81">
        <v>0.95</v>
      </c>
      <c r="D9" s="82">
        <v>0.19</v>
      </c>
      <c r="E9" s="85"/>
    </row>
    <row r="10" spans="1:5" ht="15.75" customHeight="1" x14ac:dyDescent="0.25">
      <c r="A10" s="101" t="s">
        <v>218</v>
      </c>
      <c r="B10" s="81">
        <v>0</v>
      </c>
      <c r="C10" s="81">
        <v>0.95</v>
      </c>
      <c r="D10" s="82">
        <v>0.73</v>
      </c>
    </row>
    <row r="11" spans="1:5" ht="15.75" customHeight="1" x14ac:dyDescent="0.25">
      <c r="A11" s="101" t="s">
        <v>219</v>
      </c>
      <c r="B11" s="81">
        <v>0</v>
      </c>
      <c r="C11" s="81">
        <v>0.95</v>
      </c>
      <c r="D11" s="82">
        <v>1.78</v>
      </c>
    </row>
    <row r="12" spans="1:5" ht="15.75" customHeight="1" x14ac:dyDescent="0.25">
      <c r="A12" s="101" t="s">
        <v>220</v>
      </c>
      <c r="B12" s="81">
        <v>0</v>
      </c>
      <c r="C12" s="81">
        <v>0.95</v>
      </c>
      <c r="D12" s="82">
        <v>0.24</v>
      </c>
    </row>
    <row r="13" spans="1:5" ht="15.75" customHeight="1" x14ac:dyDescent="0.25">
      <c r="A13" s="101" t="s">
        <v>221</v>
      </c>
      <c r="B13" s="81">
        <v>0</v>
      </c>
      <c r="C13" s="81">
        <v>0.95</v>
      </c>
      <c r="D13" s="82">
        <v>0.55000000000000004</v>
      </c>
    </row>
    <row r="14" spans="1:5" ht="15.75" customHeight="1" x14ac:dyDescent="0.25">
      <c r="A14" s="14" t="s">
        <v>217</v>
      </c>
      <c r="B14" s="81">
        <v>0</v>
      </c>
      <c r="C14" s="81">
        <v>0.95</v>
      </c>
      <c r="D14" s="82">
        <v>0.73</v>
      </c>
    </row>
    <row r="15" spans="1:5" ht="15.75" customHeight="1" x14ac:dyDescent="0.25">
      <c r="A15" s="14" t="s">
        <v>222</v>
      </c>
      <c r="B15" s="81">
        <v>0</v>
      </c>
      <c r="C15" s="81">
        <v>0.95</v>
      </c>
      <c r="D15" s="82">
        <v>1.78</v>
      </c>
    </row>
    <row r="16" spans="1:5" ht="15.75" customHeight="1" x14ac:dyDescent="0.25">
      <c r="A16" s="80" t="s">
        <v>57</v>
      </c>
      <c r="B16" s="81">
        <v>0</v>
      </c>
      <c r="C16" s="81">
        <v>0.95</v>
      </c>
      <c r="D16" s="82">
        <v>2.06</v>
      </c>
      <c r="E16" s="67"/>
    </row>
    <row r="17" spans="1:5" ht="15.75" customHeight="1" x14ac:dyDescent="0.25">
      <c r="A17" s="80" t="s">
        <v>47</v>
      </c>
      <c r="B17" s="81">
        <v>0</v>
      </c>
      <c r="C17" s="81">
        <v>0.95</v>
      </c>
      <c r="D17" s="82">
        <v>0.25</v>
      </c>
      <c r="E17" s="67"/>
    </row>
    <row r="18" spans="1:5" ht="15.75" customHeight="1" x14ac:dyDescent="0.25">
      <c r="A18" s="80" t="s">
        <v>199</v>
      </c>
      <c r="B18" s="81">
        <v>0</v>
      </c>
      <c r="C18" s="81">
        <v>0.95</v>
      </c>
      <c r="D18" s="100">
        <f>SUMPRODUCT(('IYCF cost'!$C$2:$E$6)*('IYCF packages'!$C$2:$E$6&lt;&gt;""))</f>
        <v>1.22</v>
      </c>
    </row>
    <row r="19" spans="1:5" ht="15.75" customHeight="1" x14ac:dyDescent="0.25">
      <c r="A19" s="80" t="s">
        <v>198</v>
      </c>
      <c r="B19" s="81">
        <v>0</v>
      </c>
      <c r="C19" s="81">
        <v>0.95</v>
      </c>
      <c r="D19" s="100">
        <f>SUMPRODUCT(('IYCF cost'!$C$2:$E$6)*('IYCF packages'!$C$9:$E$13&lt;&gt;""))</f>
        <v>1.4700000000000002</v>
      </c>
    </row>
    <row r="20" spans="1:5" ht="15.75" customHeight="1" x14ac:dyDescent="0.25">
      <c r="A20" s="80" t="s">
        <v>196</v>
      </c>
      <c r="B20" s="81">
        <v>0</v>
      </c>
      <c r="C20" s="81">
        <v>0.95</v>
      </c>
      <c r="D20" s="100">
        <f>SUMPRODUCT(('IYCF cost'!$C$2:$E$6)*('IYCF packages'!$C$16:$E$20&lt;&gt;""))</f>
        <v>0</v>
      </c>
    </row>
    <row r="21" spans="1:5" ht="15.75" customHeight="1" x14ac:dyDescent="0.25">
      <c r="A21" s="80" t="s">
        <v>159</v>
      </c>
      <c r="B21" s="81">
        <v>0</v>
      </c>
      <c r="C21" s="81">
        <v>0.95</v>
      </c>
      <c r="D21" s="82">
        <v>50</v>
      </c>
      <c r="E21" s="67"/>
    </row>
    <row r="22" spans="1:5" ht="15.75" customHeight="1" x14ac:dyDescent="0.25">
      <c r="A22" s="80" t="s">
        <v>34</v>
      </c>
      <c r="B22" s="81">
        <v>0.2</v>
      </c>
      <c r="C22" s="81">
        <v>0.95</v>
      </c>
      <c r="D22" s="82">
        <v>2.61</v>
      </c>
      <c r="E22" s="67"/>
    </row>
    <row r="23" spans="1:5" ht="15.75" customHeight="1" x14ac:dyDescent="0.25">
      <c r="A23" s="80" t="s">
        <v>99</v>
      </c>
      <c r="B23" s="81">
        <v>0</v>
      </c>
      <c r="C23" s="81">
        <v>0.95</v>
      </c>
      <c r="D23" s="82">
        <v>1</v>
      </c>
      <c r="E23" s="67"/>
    </row>
    <row r="24" spans="1:5" ht="15.75" customHeight="1" x14ac:dyDescent="0.25">
      <c r="A24" s="80" t="s">
        <v>98</v>
      </c>
      <c r="B24" s="81">
        <v>0</v>
      </c>
      <c r="C24" s="81">
        <v>0.95</v>
      </c>
      <c r="D24" s="82">
        <v>1</v>
      </c>
      <c r="E24" s="84"/>
    </row>
    <row r="25" spans="1:5" ht="15.75" customHeight="1" x14ac:dyDescent="0.25">
      <c r="A25" s="80" t="s">
        <v>160</v>
      </c>
      <c r="B25" s="81">
        <v>0</v>
      </c>
      <c r="C25" s="81">
        <v>0.95</v>
      </c>
      <c r="D25" s="82">
        <v>1</v>
      </c>
      <c r="E25" s="67"/>
    </row>
    <row r="26" spans="1:5" ht="15.75" customHeight="1" x14ac:dyDescent="0.25">
      <c r="A26" s="80" t="s">
        <v>59</v>
      </c>
      <c r="B26" s="81">
        <v>0</v>
      </c>
      <c r="C26" s="81">
        <v>0.95</v>
      </c>
      <c r="D26" s="82">
        <v>2.99</v>
      </c>
      <c r="E26" s="67"/>
    </row>
    <row r="27" spans="1:5" ht="15.75" customHeight="1" x14ac:dyDescent="0.25">
      <c r="A27" s="80" t="s">
        <v>95</v>
      </c>
      <c r="B27" s="81">
        <v>0</v>
      </c>
      <c r="C27" s="81">
        <v>0.95</v>
      </c>
      <c r="D27" s="82">
        <v>1</v>
      </c>
    </row>
    <row r="28" spans="1:5" ht="15.75" customHeight="1" x14ac:dyDescent="0.25">
      <c r="A28" s="80" t="s">
        <v>58</v>
      </c>
      <c r="B28" s="81">
        <v>0</v>
      </c>
      <c r="C28" s="81">
        <v>0.95</v>
      </c>
      <c r="D28" s="82">
        <v>48</v>
      </c>
    </row>
    <row r="29" spans="1:5" ht="15.75" customHeight="1" x14ac:dyDescent="0.25">
      <c r="A29" s="80" t="s">
        <v>67</v>
      </c>
      <c r="B29" s="81">
        <v>0</v>
      </c>
      <c r="C29" s="81">
        <v>0.95</v>
      </c>
      <c r="D29" s="83">
        <f>90*AVERAGE('Incidence of conditions'!B4:F4) + 40*AVERAGE('Incidence of conditions'!B3:F3)*IF(ISBLANK(manage_mam), 0, 1)</f>
        <v>9.9684000000000008</v>
      </c>
    </row>
    <row r="30" spans="1:5" ht="15.75" customHeight="1" x14ac:dyDescent="0.25">
      <c r="A30" s="80" t="s">
        <v>28</v>
      </c>
      <c r="B30" s="81">
        <v>0</v>
      </c>
      <c r="C30" s="81">
        <v>0.95</v>
      </c>
      <c r="D30" s="82">
        <v>0.35</v>
      </c>
    </row>
    <row r="31" spans="1:5" ht="15.75" customHeight="1" x14ac:dyDescent="0.25">
      <c r="A31" s="80" t="s">
        <v>94</v>
      </c>
      <c r="B31" s="81">
        <v>0</v>
      </c>
      <c r="C31" s="81">
        <v>0.95</v>
      </c>
      <c r="D31" s="82">
        <v>1</v>
      </c>
    </row>
    <row r="32" spans="1:5" ht="15.75" customHeight="1" x14ac:dyDescent="0.25">
      <c r="A32" s="80" t="s">
        <v>93</v>
      </c>
      <c r="B32" s="81">
        <v>0</v>
      </c>
      <c r="C32" s="81">
        <v>0.95</v>
      </c>
      <c r="D32" s="82">
        <v>2.8</v>
      </c>
    </row>
    <row r="33" spans="1:6" ht="15.75" customHeight="1" x14ac:dyDescent="0.25">
      <c r="A33" s="80" t="s">
        <v>92</v>
      </c>
      <c r="B33" s="81">
        <v>0</v>
      </c>
      <c r="C33" s="81">
        <v>0.95</v>
      </c>
      <c r="D33" s="82">
        <v>50.26</v>
      </c>
    </row>
    <row r="34" spans="1:6" ht="15.75" customHeight="1" x14ac:dyDescent="0.25">
      <c r="A34" s="80" t="s">
        <v>90</v>
      </c>
      <c r="B34" s="81">
        <v>0</v>
      </c>
      <c r="C34" s="81">
        <v>0.95</v>
      </c>
      <c r="D34" s="82">
        <v>36.1</v>
      </c>
    </row>
    <row r="35" spans="1:6" s="59" customFormat="1" ht="15.75" customHeight="1" x14ac:dyDescent="0.25">
      <c r="A35" s="80" t="s">
        <v>91</v>
      </c>
      <c r="B35" s="81">
        <v>0</v>
      </c>
      <c r="C35" s="81">
        <v>0.95</v>
      </c>
      <c r="D35" s="82">
        <v>231.85</v>
      </c>
      <c r="F35" s="58"/>
    </row>
    <row r="36" spans="1:6" ht="15.75" customHeight="1" x14ac:dyDescent="0.25">
      <c r="A36" s="80" t="s">
        <v>96</v>
      </c>
      <c r="B36" s="81">
        <v>0</v>
      </c>
      <c r="C36" s="81">
        <v>0.95</v>
      </c>
      <c r="D36" s="82">
        <v>1.5</v>
      </c>
    </row>
    <row r="37" spans="1:6" ht="15.75" customHeight="1" x14ac:dyDescent="0.25">
      <c r="A37" s="80" t="s">
        <v>60</v>
      </c>
      <c r="B37" s="81">
        <v>0</v>
      </c>
      <c r="C37" s="81">
        <v>0.95</v>
      </c>
      <c r="D37" s="82">
        <v>1</v>
      </c>
    </row>
    <row r="38" spans="1:6" ht="15.75" customHeight="1" x14ac:dyDescent="0.25">
      <c r="F38" s="59"/>
    </row>
  </sheetData>
  <sortState ref="A2:D37">
    <sortCondition ref="A2:A37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E9"/>
  <sheetViews>
    <sheetView workbookViewId="0">
      <selection activeCell="F29" sqref="F29"/>
    </sheetView>
  </sheetViews>
  <sheetFormatPr defaultColWidth="10.81640625" defaultRowHeight="15.5" x14ac:dyDescent="0.35"/>
  <cols>
    <col min="1" max="1" width="18.6328125" style="91" customWidth="1"/>
    <col min="2" max="16384" width="10.81640625" style="91"/>
  </cols>
  <sheetData>
    <row r="1" spans="1:5" ht="52.5" x14ac:dyDescent="0.35">
      <c r="A1" s="96" t="s">
        <v>208</v>
      </c>
      <c r="B1" s="95" t="s">
        <v>203</v>
      </c>
      <c r="C1" s="95" t="s">
        <v>202</v>
      </c>
      <c r="D1" s="95" t="s">
        <v>201</v>
      </c>
      <c r="E1" s="95" t="s">
        <v>200</v>
      </c>
    </row>
    <row r="2" spans="1:5" x14ac:dyDescent="0.35">
      <c r="A2" s="94" t="s">
        <v>187</v>
      </c>
      <c r="B2" s="93" t="s">
        <v>32</v>
      </c>
      <c r="C2" s="82">
        <f>1.5*0.61</f>
        <v>0.91500000000000004</v>
      </c>
      <c r="D2" s="82">
        <f>0.5*0.61</f>
        <v>0.30499999999999999</v>
      </c>
      <c r="E2" s="82">
        <v>0.05</v>
      </c>
    </row>
    <row r="3" spans="1:5" x14ac:dyDescent="0.35">
      <c r="A3" s="93"/>
      <c r="B3" s="93" t="s">
        <v>1</v>
      </c>
      <c r="C3" s="82">
        <f>1.5*0.61</f>
        <v>0.91500000000000004</v>
      </c>
      <c r="D3" s="82">
        <f>0.5*0.61</f>
        <v>0.30499999999999999</v>
      </c>
      <c r="E3" s="82">
        <v>0.05</v>
      </c>
    </row>
    <row r="4" spans="1:5" x14ac:dyDescent="0.35">
      <c r="A4" s="93"/>
      <c r="B4" s="93" t="s">
        <v>2</v>
      </c>
      <c r="C4" s="82">
        <f>1.5*0.61</f>
        <v>0.91500000000000004</v>
      </c>
      <c r="D4" s="82">
        <f>0.5*0.61</f>
        <v>0.30499999999999999</v>
      </c>
      <c r="E4" s="82">
        <v>0.05</v>
      </c>
    </row>
    <row r="5" spans="1:5" x14ac:dyDescent="0.35">
      <c r="A5" s="93"/>
      <c r="B5" s="93" t="s">
        <v>3</v>
      </c>
      <c r="C5" s="82">
        <f>1.5*0.61</f>
        <v>0.91500000000000004</v>
      </c>
      <c r="D5" s="82">
        <f>0.5*0.61</f>
        <v>0.30499999999999999</v>
      </c>
      <c r="E5" s="82">
        <v>0.05</v>
      </c>
    </row>
    <row r="6" spans="1:5" x14ac:dyDescent="0.35">
      <c r="A6" s="93"/>
      <c r="B6" s="93" t="s">
        <v>4</v>
      </c>
      <c r="C6" s="82">
        <f>1.5*0.61</f>
        <v>0.91500000000000004</v>
      </c>
      <c r="D6" s="82">
        <f>0.5*0.61</f>
        <v>0.30499999999999999</v>
      </c>
      <c r="E6" s="82">
        <v>0.05</v>
      </c>
    </row>
    <row r="9" spans="1:5" x14ac:dyDescent="0.35">
      <c r="C9" s="92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18"/>
  <sheetViews>
    <sheetView workbookViewId="0">
      <selection activeCell="B10" sqref="B10"/>
    </sheetView>
  </sheetViews>
  <sheetFormatPr defaultColWidth="11.453125" defaultRowHeight="12.5" x14ac:dyDescent="0.25"/>
  <cols>
    <col min="1" max="1" width="53" style="80" bestFit="1" customWidth="1"/>
    <col min="2" max="2" width="86" style="58" bestFit="1" customWidth="1"/>
    <col min="3" max="3" width="42.453125" style="58" customWidth="1"/>
    <col min="4" max="16384" width="11.453125" style="58"/>
  </cols>
  <sheetData>
    <row r="1" spans="1:3" ht="13" x14ac:dyDescent="0.3">
      <c r="A1" s="63" t="s">
        <v>70</v>
      </c>
      <c r="B1" s="63" t="s">
        <v>210</v>
      </c>
      <c r="C1" s="63" t="s">
        <v>209</v>
      </c>
    </row>
    <row r="2" spans="1:3" x14ac:dyDescent="0.25">
      <c r="A2" s="14" t="s">
        <v>217</v>
      </c>
      <c r="B2" s="74" t="s">
        <v>59</v>
      </c>
      <c r="C2" s="74"/>
    </row>
    <row r="3" spans="1:3" x14ac:dyDescent="0.25">
      <c r="A3" s="14" t="s">
        <v>222</v>
      </c>
      <c r="B3" s="74" t="s">
        <v>59</v>
      </c>
      <c r="C3" s="74"/>
    </row>
    <row r="4" spans="1:3" x14ac:dyDescent="0.25">
      <c r="A4" s="80" t="s">
        <v>58</v>
      </c>
      <c r="B4" s="74" t="s">
        <v>159</v>
      </c>
      <c r="C4" s="74"/>
    </row>
    <row r="5" spans="1:3" x14ac:dyDescent="0.25">
      <c r="A5" s="80" t="s">
        <v>160</v>
      </c>
      <c r="B5" s="74" t="s">
        <v>159</v>
      </c>
      <c r="C5" s="74"/>
    </row>
    <row r="11" spans="1:3" x14ac:dyDescent="0.25">
      <c r="A11" s="52"/>
    </row>
    <row r="12" spans="1:3" x14ac:dyDescent="0.25">
      <c r="A12" s="52"/>
    </row>
    <row r="13" spans="1:3" x14ac:dyDescent="0.25">
      <c r="A13" s="52"/>
    </row>
    <row r="14" spans="1:3" x14ac:dyDescent="0.25">
      <c r="A14" s="52"/>
    </row>
    <row r="15" spans="1:3" x14ac:dyDescent="0.25">
      <c r="A15" s="52"/>
    </row>
    <row r="16" spans="1:3" x14ac:dyDescent="0.25">
      <c r="A16" s="52"/>
    </row>
    <row r="17" spans="1:1" x14ac:dyDescent="0.25">
      <c r="A17" s="52"/>
    </row>
    <row r="18" spans="1:1" x14ac:dyDescent="0.25">
      <c r="A18" s="5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19"/>
  <sheetViews>
    <sheetView workbookViewId="0">
      <selection activeCell="F29" sqref="F29"/>
    </sheetView>
  </sheetViews>
  <sheetFormatPr defaultColWidth="11.453125" defaultRowHeight="12.5" x14ac:dyDescent="0.25"/>
  <cols>
    <col min="1" max="1" width="30.1796875" style="58" customWidth="1"/>
    <col min="2" max="16384" width="11.453125" style="58"/>
  </cols>
  <sheetData>
    <row r="1" spans="1:1" ht="13" x14ac:dyDescent="0.3">
      <c r="A1" s="63" t="s">
        <v>70</v>
      </c>
    </row>
    <row r="2" spans="1:1" x14ac:dyDescent="0.25">
      <c r="A2" s="74" t="s">
        <v>68</v>
      </c>
    </row>
    <row r="3" spans="1:1" x14ac:dyDescent="0.25">
      <c r="A3" s="74" t="s">
        <v>57</v>
      </c>
    </row>
    <row r="4" spans="1:1" x14ac:dyDescent="0.25">
      <c r="A4" s="74" t="s">
        <v>34</v>
      </c>
    </row>
    <row r="5" spans="1:1" x14ac:dyDescent="0.25">
      <c r="A5" s="74" t="s">
        <v>94</v>
      </c>
    </row>
    <row r="6" spans="1:1" x14ac:dyDescent="0.25">
      <c r="A6" s="74" t="s">
        <v>93</v>
      </c>
    </row>
    <row r="7" spans="1:1" x14ac:dyDescent="0.25">
      <c r="A7" s="74" t="s">
        <v>92</v>
      </c>
    </row>
    <row r="8" spans="1:1" x14ac:dyDescent="0.25">
      <c r="A8" s="74" t="s">
        <v>90</v>
      </c>
    </row>
    <row r="9" spans="1:1" x14ac:dyDescent="0.25">
      <c r="A9" s="74" t="s">
        <v>91</v>
      </c>
    </row>
    <row r="10" spans="1:1" x14ac:dyDescent="0.25">
      <c r="A10" s="74"/>
    </row>
    <row r="11" spans="1:1" x14ac:dyDescent="0.25">
      <c r="A11" s="74"/>
    </row>
    <row r="12" spans="1:1" x14ac:dyDescent="0.25">
      <c r="A12" s="74"/>
    </row>
    <row r="13" spans="1:1" x14ac:dyDescent="0.25">
      <c r="A13" s="74"/>
    </row>
    <row r="14" spans="1:1" x14ac:dyDescent="0.25">
      <c r="A14" s="74"/>
    </row>
    <row r="15" spans="1:1" x14ac:dyDescent="0.25">
      <c r="A15" s="74"/>
    </row>
    <row r="16" spans="1:1" x14ac:dyDescent="0.25">
      <c r="A16" s="74"/>
    </row>
    <row r="17" spans="1:1" x14ac:dyDescent="0.25">
      <c r="A17" s="74"/>
    </row>
    <row r="18" spans="1:1" x14ac:dyDescent="0.25">
      <c r="A18" s="74"/>
    </row>
    <row r="19" spans="1:1" x14ac:dyDescent="0.25">
      <c r="A19" s="74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B3" sqref="B3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72</v>
      </c>
      <c r="B2" s="37">
        <f>'Baseline year population inputs'!C43</f>
        <v>2.4300000000000002</v>
      </c>
      <c r="C2" s="37">
        <f>'Baseline year population inputs'!C44</f>
        <v>2.4300000000000002</v>
      </c>
      <c r="D2" s="37">
        <f>'Baseline year population inputs'!C45</f>
        <v>3.71</v>
      </c>
      <c r="E2" s="37">
        <f>'Baseline year population inputs'!C46</f>
        <v>3</v>
      </c>
      <c r="F2" s="37">
        <f>'Baseline year population inputs'!C47</f>
        <v>1.92</v>
      </c>
    </row>
    <row r="3" spans="1:6" ht="15.75" customHeight="1" x14ac:dyDescent="0.25">
      <c r="A3" s="3" t="s">
        <v>65</v>
      </c>
      <c r="B3" s="37">
        <f>frac_mam_1month * 2.6</f>
        <v>0.39</v>
      </c>
      <c r="C3" s="37">
        <f>frac_mam_1_5months * 2.6</f>
        <v>0.39</v>
      </c>
      <c r="D3" s="37">
        <f>frac_mam_6_11months * 2.6</f>
        <v>0.33540000000000003</v>
      </c>
      <c r="E3" s="37">
        <f>frac_mam_12_23months * 2.6</f>
        <v>0.28600000000000003</v>
      </c>
      <c r="F3" s="37">
        <f>frac_mam_24_59months * 2.6</f>
        <v>0.27300000000000002</v>
      </c>
    </row>
    <row r="4" spans="1:6" ht="15.75" customHeight="1" x14ac:dyDescent="0.25">
      <c r="A4" s="3" t="s">
        <v>66</v>
      </c>
      <c r="B4" s="37">
        <f>frac_sam_1month * 2.6</f>
        <v>0.12740000000000001</v>
      </c>
      <c r="C4" s="37">
        <f>frac_sam_1_5months * 2.6</f>
        <v>0.12740000000000001</v>
      </c>
      <c r="D4" s="37">
        <f>frac_sam_6_11months * 2.6</f>
        <v>0.13780000000000001</v>
      </c>
      <c r="E4" s="37">
        <f>frac_sam_12_23months * 2.6</f>
        <v>0.10659999999999999</v>
      </c>
      <c r="F4" s="37">
        <f>frac_sam_24_59months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H15" sqref="H15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70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4" t="s">
        <v>61</v>
      </c>
      <c r="C2" s="54">
        <v>0</v>
      </c>
      <c r="D2" s="54">
        <f>food_insecure</f>
        <v>0.36</v>
      </c>
      <c r="E2" s="54">
        <f>food_insecure</f>
        <v>0.36</v>
      </c>
      <c r="F2" s="54">
        <f>food_insecure</f>
        <v>0.36</v>
      </c>
      <c r="G2" s="54">
        <f>food_insecure</f>
        <v>0.36</v>
      </c>
      <c r="H2" s="55">
        <v>0</v>
      </c>
      <c r="I2" s="55">
        <v>0</v>
      </c>
      <c r="J2" s="55">
        <v>0</v>
      </c>
      <c r="K2" s="55">
        <v>0</v>
      </c>
      <c r="L2" s="55">
        <v>0</v>
      </c>
      <c r="M2" s="55">
        <v>0</v>
      </c>
      <c r="N2" s="55">
        <v>0</v>
      </c>
      <c r="O2" s="55">
        <v>0</v>
      </c>
    </row>
    <row r="3" spans="1:15" ht="15.75" customHeight="1" x14ac:dyDescent="0.25">
      <c r="B3" s="9" t="s">
        <v>172</v>
      </c>
      <c r="C3" s="57">
        <v>1</v>
      </c>
      <c r="D3" s="54">
        <v>0</v>
      </c>
      <c r="E3" s="54">
        <v>0</v>
      </c>
      <c r="F3" s="54">
        <v>0</v>
      </c>
      <c r="G3" s="54">
        <v>0</v>
      </c>
      <c r="H3" s="55">
        <v>0</v>
      </c>
      <c r="I3" s="55">
        <v>0</v>
      </c>
      <c r="J3" s="55">
        <v>0</v>
      </c>
      <c r="K3" s="55">
        <v>0</v>
      </c>
      <c r="L3" s="55">
        <v>0</v>
      </c>
      <c r="M3" s="55">
        <v>0</v>
      </c>
      <c r="N3" s="55">
        <v>0</v>
      </c>
      <c r="O3" s="55">
        <v>0</v>
      </c>
    </row>
    <row r="4" spans="1:15" ht="15.75" customHeight="1" x14ac:dyDescent="0.25">
      <c r="B4" s="14" t="s">
        <v>159</v>
      </c>
      <c r="C4" s="54">
        <v>0</v>
      </c>
      <c r="D4" s="54">
        <v>0</v>
      </c>
      <c r="E4" s="54">
        <f>food_insecure</f>
        <v>0.36</v>
      </c>
      <c r="F4" s="54">
        <f>food_insecure</f>
        <v>0.36</v>
      </c>
      <c r="G4" s="54">
        <v>0</v>
      </c>
      <c r="H4" s="55">
        <v>0</v>
      </c>
      <c r="I4" s="55">
        <v>0</v>
      </c>
      <c r="J4" s="55">
        <v>0</v>
      </c>
      <c r="K4" s="55">
        <v>0</v>
      </c>
      <c r="L4" s="55">
        <v>0</v>
      </c>
      <c r="M4" s="55">
        <v>0</v>
      </c>
      <c r="N4" s="55">
        <v>0</v>
      </c>
      <c r="O4" s="55">
        <v>0</v>
      </c>
    </row>
    <row r="5" spans="1:15" ht="15.75" customHeight="1" x14ac:dyDescent="0.25">
      <c r="B5" s="14" t="s">
        <v>160</v>
      </c>
      <c r="C5" s="54">
        <v>0</v>
      </c>
      <c r="D5" s="54">
        <v>0</v>
      </c>
      <c r="E5" s="54">
        <f>1</f>
        <v>1</v>
      </c>
      <c r="F5" s="54">
        <f>1</f>
        <v>1</v>
      </c>
      <c r="G5" s="54">
        <f>1</f>
        <v>1</v>
      </c>
      <c r="H5" s="55">
        <v>0</v>
      </c>
      <c r="I5" s="55">
        <v>0</v>
      </c>
      <c r="J5" s="55">
        <v>0</v>
      </c>
      <c r="K5" s="55">
        <v>0</v>
      </c>
      <c r="L5" s="55">
        <v>0</v>
      </c>
      <c r="M5" s="55">
        <v>0</v>
      </c>
      <c r="N5" s="55">
        <v>0</v>
      </c>
      <c r="O5" s="55">
        <v>0</v>
      </c>
    </row>
    <row r="6" spans="1:15" ht="15.75" customHeight="1" x14ac:dyDescent="0.25">
      <c r="B6" s="52" t="s">
        <v>95</v>
      </c>
      <c r="C6" s="54">
        <v>1</v>
      </c>
      <c r="D6" s="54">
        <v>1</v>
      </c>
      <c r="E6" s="54">
        <v>1</v>
      </c>
      <c r="F6" s="54">
        <v>1</v>
      </c>
      <c r="G6" s="54">
        <v>1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</row>
    <row r="7" spans="1:15" ht="15.75" customHeight="1" x14ac:dyDescent="0.25">
      <c r="B7" s="14" t="s">
        <v>58</v>
      </c>
      <c r="C7" s="54">
        <v>0</v>
      </c>
      <c r="D7" s="54">
        <v>0</v>
      </c>
      <c r="E7" s="54">
        <f>food_insecure</f>
        <v>0.36</v>
      </c>
      <c r="F7" s="54">
        <f>food_insecure</f>
        <v>0.36</v>
      </c>
      <c r="G7" s="54">
        <v>0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</row>
    <row r="8" spans="1:15" ht="15.75" customHeight="1" x14ac:dyDescent="0.25">
      <c r="B8" s="14" t="s">
        <v>67</v>
      </c>
      <c r="C8" s="54">
        <v>0</v>
      </c>
      <c r="D8" s="54">
        <f>IF(ISBLANK(comm_deliv), frac_children_health_facility,1)</f>
        <v>0.3</v>
      </c>
      <c r="E8" s="54">
        <f>IF(ISBLANK(comm_deliv), frac_children_health_facility,1)</f>
        <v>0.3</v>
      </c>
      <c r="F8" s="54">
        <f>IF(ISBLANK(comm_deliv), frac_children_health_facility,1)</f>
        <v>0.3</v>
      </c>
      <c r="G8" s="54">
        <f>IF(ISBLANK(comm_deliv), frac_children_health_facility,1)</f>
        <v>0.3</v>
      </c>
      <c r="H8" s="55">
        <v>0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</row>
    <row r="9" spans="1:15" ht="15" customHeight="1" x14ac:dyDescent="0.25">
      <c r="B9" s="14" t="s">
        <v>28</v>
      </c>
      <c r="C9" s="54">
        <v>0</v>
      </c>
      <c r="D9" s="54">
        <v>0</v>
      </c>
      <c r="E9" s="54">
        <v>1</v>
      </c>
      <c r="F9" s="54">
        <v>1</v>
      </c>
      <c r="G9" s="54">
        <v>1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55">
        <v>0</v>
      </c>
    </row>
    <row r="10" spans="1:15" ht="15.75" customHeight="1" x14ac:dyDescent="0.25">
      <c r="B10" s="52" t="s">
        <v>96</v>
      </c>
      <c r="C10" s="54">
        <v>1</v>
      </c>
      <c r="D10" s="54">
        <v>1</v>
      </c>
      <c r="E10" s="54">
        <v>1</v>
      </c>
      <c r="F10" s="54">
        <v>1</v>
      </c>
      <c r="G10" s="54">
        <v>1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</row>
    <row r="11" spans="1:15" ht="15.75" customHeight="1" x14ac:dyDescent="0.25">
      <c r="B11" s="14" t="s">
        <v>60</v>
      </c>
      <c r="C11" s="54">
        <v>0</v>
      </c>
      <c r="D11" s="54">
        <v>0</v>
      </c>
      <c r="E11" s="54">
        <v>1</v>
      </c>
      <c r="F11" s="54">
        <v>1</v>
      </c>
      <c r="G11" s="54">
        <v>1</v>
      </c>
      <c r="H11" s="55">
        <v>0</v>
      </c>
      <c r="I11" s="55">
        <v>0</v>
      </c>
      <c r="J11" s="55">
        <v>0</v>
      </c>
      <c r="K11" s="55">
        <v>0</v>
      </c>
      <c r="L11" s="55">
        <v>0</v>
      </c>
      <c r="M11" s="55">
        <v>0</v>
      </c>
      <c r="N11" s="55">
        <v>0</v>
      </c>
      <c r="O11" s="55">
        <v>0</v>
      </c>
    </row>
    <row r="12" spans="1:15" ht="15.75" customHeight="1" x14ac:dyDescent="0.25">
      <c r="B12" s="52"/>
    </row>
    <row r="13" spans="1:15" ht="15.75" customHeight="1" x14ac:dyDescent="0.3">
      <c r="A13" s="4" t="s">
        <v>32</v>
      </c>
      <c r="B13" s="52" t="s">
        <v>29</v>
      </c>
      <c r="C13" s="55">
        <v>0</v>
      </c>
      <c r="D13" s="55">
        <v>0</v>
      </c>
      <c r="E13" s="55">
        <v>0</v>
      </c>
      <c r="F13" s="55">
        <v>0</v>
      </c>
      <c r="G13" s="55">
        <v>0</v>
      </c>
      <c r="H13" s="54">
        <f>food_insecure</f>
        <v>0.36</v>
      </c>
      <c r="I13" s="54">
        <f>food_insecure</f>
        <v>0.36</v>
      </c>
      <c r="J13" s="54">
        <f>food_insecure</f>
        <v>0.36</v>
      </c>
      <c r="K13" s="54">
        <f>food_insecure</f>
        <v>0.36</v>
      </c>
      <c r="L13" s="55">
        <v>0</v>
      </c>
      <c r="M13" s="55">
        <v>0</v>
      </c>
      <c r="N13" s="55">
        <v>0</v>
      </c>
      <c r="O13" s="55">
        <v>0</v>
      </c>
    </row>
    <row r="14" spans="1:15" ht="15.75" customHeight="1" x14ac:dyDescent="0.3">
      <c r="A14" s="4"/>
      <c r="B14" s="14" t="s">
        <v>97</v>
      </c>
      <c r="C14" s="55">
        <v>0</v>
      </c>
      <c r="D14" s="55">
        <v>0</v>
      </c>
      <c r="E14" s="55">
        <v>0</v>
      </c>
      <c r="F14" s="55">
        <v>0</v>
      </c>
      <c r="G14" s="55">
        <v>0</v>
      </c>
      <c r="H14" s="54">
        <v>1</v>
      </c>
      <c r="I14" s="54">
        <v>1</v>
      </c>
      <c r="J14" s="54">
        <v>1</v>
      </c>
      <c r="K14" s="54">
        <v>1</v>
      </c>
      <c r="L14" s="55">
        <v>0</v>
      </c>
      <c r="M14" s="55">
        <v>0</v>
      </c>
      <c r="N14" s="55">
        <v>0</v>
      </c>
      <c r="O14" s="55">
        <v>0</v>
      </c>
    </row>
    <row r="15" spans="1:15" ht="15.75" customHeight="1" x14ac:dyDescent="0.3">
      <c r="A15" s="4"/>
      <c r="B15" s="14" t="s">
        <v>217</v>
      </c>
      <c r="C15" s="55">
        <v>0</v>
      </c>
      <c r="D15" s="55">
        <v>0</v>
      </c>
      <c r="E15" s="55">
        <v>0</v>
      </c>
      <c r="F15" s="55">
        <v>0</v>
      </c>
      <c r="G15" s="55">
        <v>0</v>
      </c>
      <c r="H15" s="54">
        <f xml:space="preserve"> 1</f>
        <v>1</v>
      </c>
      <c r="I15" s="54">
        <f xml:space="preserve"> 1</f>
        <v>1</v>
      </c>
      <c r="J15" s="54">
        <f xml:space="preserve"> 1</f>
        <v>1</v>
      </c>
      <c r="K15" s="54">
        <f xml:space="preserve"> 1</f>
        <v>1</v>
      </c>
      <c r="L15" s="55">
        <v>0</v>
      </c>
      <c r="M15" s="55">
        <v>0</v>
      </c>
      <c r="N15" s="55">
        <v>0</v>
      </c>
      <c r="O15" s="55">
        <v>0</v>
      </c>
    </row>
    <row r="16" spans="1:15" ht="15.75" customHeight="1" x14ac:dyDescent="0.3">
      <c r="A16" s="4"/>
      <c r="B16" s="14" t="s">
        <v>222</v>
      </c>
      <c r="C16" s="55">
        <v>0</v>
      </c>
      <c r="D16" s="55">
        <v>0</v>
      </c>
      <c r="E16" s="55">
        <v>0</v>
      </c>
      <c r="F16" s="55">
        <v>0</v>
      </c>
      <c r="G16" s="55">
        <v>0</v>
      </c>
      <c r="H16" s="54">
        <f>frac_PW_health_facility</f>
        <v>0.5</v>
      </c>
      <c r="I16" s="54">
        <f>frac_PW_health_facility</f>
        <v>0.5</v>
      </c>
      <c r="J16" s="54">
        <f>frac_PW_health_facility</f>
        <v>0.5</v>
      </c>
      <c r="K16" s="54">
        <f>frac_PW_health_facility</f>
        <v>0.5</v>
      </c>
      <c r="L16" s="55">
        <v>0</v>
      </c>
      <c r="M16" s="55">
        <v>0</v>
      </c>
      <c r="N16" s="55">
        <v>0</v>
      </c>
      <c r="O16" s="55">
        <v>0</v>
      </c>
    </row>
    <row r="17" spans="1:15" ht="15" customHeight="1" x14ac:dyDescent="0.25">
      <c r="B17" s="52" t="s">
        <v>57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4">
        <f>frac_malaria_risk</f>
        <v>0.1</v>
      </c>
      <c r="I17" s="54">
        <f>frac_malaria_risk</f>
        <v>0.1</v>
      </c>
      <c r="J17" s="54">
        <f>frac_malaria_risk</f>
        <v>0.1</v>
      </c>
      <c r="K17" s="54">
        <f>frac_malaria_risk</f>
        <v>0.1</v>
      </c>
      <c r="L17" s="55">
        <v>0</v>
      </c>
      <c r="M17" s="55">
        <v>0</v>
      </c>
      <c r="N17" s="55">
        <v>0</v>
      </c>
      <c r="O17" s="55">
        <v>0</v>
      </c>
    </row>
    <row r="18" spans="1:15" ht="15.75" customHeight="1" x14ac:dyDescent="0.25">
      <c r="B18" s="14" t="s">
        <v>99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  <c r="H18" s="54">
        <v>1</v>
      </c>
      <c r="I18" s="54">
        <v>1</v>
      </c>
      <c r="J18" s="54">
        <v>1</v>
      </c>
      <c r="K18" s="54">
        <v>1</v>
      </c>
      <c r="L18" s="55">
        <v>0</v>
      </c>
      <c r="M18" s="55">
        <v>0</v>
      </c>
      <c r="N18" s="55">
        <v>0</v>
      </c>
      <c r="O18" s="55">
        <v>0</v>
      </c>
    </row>
    <row r="19" spans="1:15" ht="15.75" customHeight="1" x14ac:dyDescent="0.25">
      <c r="B19" s="14" t="s">
        <v>98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  <c r="H19" s="54">
        <v>1</v>
      </c>
      <c r="I19" s="54">
        <v>1</v>
      </c>
      <c r="J19" s="54">
        <v>1</v>
      </c>
      <c r="K19" s="54">
        <v>1</v>
      </c>
      <c r="L19" s="55">
        <v>0</v>
      </c>
      <c r="M19" s="55">
        <v>0</v>
      </c>
      <c r="N19" s="55">
        <v>0</v>
      </c>
      <c r="O19" s="55">
        <v>0</v>
      </c>
    </row>
    <row r="20" spans="1:15" ht="15.75" customHeight="1" x14ac:dyDescent="0.25">
      <c r="B20" s="52" t="s">
        <v>59</v>
      </c>
      <c r="C20" s="55">
        <v>0</v>
      </c>
      <c r="D20" s="55">
        <v>0</v>
      </c>
      <c r="E20" s="55">
        <v>0</v>
      </c>
      <c r="F20" s="55">
        <v>0</v>
      </c>
      <c r="G20" s="55">
        <v>0</v>
      </c>
      <c r="H20" s="54">
        <f>1</f>
        <v>1</v>
      </c>
      <c r="I20" s="54">
        <f>1</f>
        <v>1</v>
      </c>
      <c r="J20" s="54">
        <f>1</f>
        <v>1</v>
      </c>
      <c r="K20" s="54">
        <f>1</f>
        <v>1</v>
      </c>
      <c r="L20" s="55">
        <v>0</v>
      </c>
      <c r="M20" s="55">
        <v>0</v>
      </c>
      <c r="N20" s="55">
        <v>0</v>
      </c>
      <c r="O20" s="55">
        <v>0</v>
      </c>
    </row>
    <row r="21" spans="1:15" ht="15.75" customHeight="1" x14ac:dyDescent="0.25">
      <c r="B21" s="52"/>
    </row>
    <row r="22" spans="1:15" ht="15.75" customHeight="1" x14ac:dyDescent="0.3">
      <c r="A22" s="99" t="s">
        <v>37</v>
      </c>
      <c r="B22" s="101" t="s">
        <v>100</v>
      </c>
      <c r="C22" s="55">
        <v>0</v>
      </c>
      <c r="D22" s="55">
        <v>0</v>
      </c>
      <c r="E22" s="55">
        <v>0</v>
      </c>
      <c r="F22" s="55">
        <v>0</v>
      </c>
      <c r="G22" s="55">
        <v>0</v>
      </c>
      <c r="H22" s="55">
        <v>0</v>
      </c>
      <c r="I22" s="55">
        <v>0</v>
      </c>
      <c r="J22" s="55">
        <v>0</v>
      </c>
      <c r="K22" s="55">
        <v>0</v>
      </c>
      <c r="L22" s="56">
        <v>1</v>
      </c>
      <c r="M22" s="56">
        <v>1</v>
      </c>
      <c r="N22" s="56">
        <v>1</v>
      </c>
      <c r="O22" s="56">
        <v>1</v>
      </c>
    </row>
    <row r="23" spans="1:15" ht="15.75" customHeight="1" x14ac:dyDescent="0.25">
      <c r="B23" s="101" t="s">
        <v>68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  <c r="H23" s="55">
        <v>0</v>
      </c>
      <c r="I23" s="55">
        <v>0</v>
      </c>
      <c r="J23" s="55">
        <v>0</v>
      </c>
      <c r="K23" s="55">
        <v>0</v>
      </c>
      <c r="L23" s="54">
        <v>1</v>
      </c>
      <c r="M23" s="54">
        <v>1</v>
      </c>
      <c r="N23" s="54">
        <v>1</v>
      </c>
      <c r="O23" s="54">
        <v>1</v>
      </c>
    </row>
    <row r="24" spans="1:15" ht="15.75" customHeight="1" x14ac:dyDescent="0.25">
      <c r="B24" s="101" t="s">
        <v>218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  <c r="H24" s="55">
        <v>0</v>
      </c>
      <c r="I24" s="55">
        <v>0</v>
      </c>
      <c r="J24" s="55">
        <v>0</v>
      </c>
      <c r="K24" s="55">
        <v>0</v>
      </c>
      <c r="L24" s="54">
        <f>(1-food_insecure)*(0.49)*(1-school_attendance) + food_insecure*(0.7)*(1-school_attendance)</f>
        <v>0.36650879999999997</v>
      </c>
      <c r="M24" s="54">
        <f>(1-food_insecure)*(0.49)+food_insecure*(0.7)</f>
        <v>0.56559999999999999</v>
      </c>
      <c r="N24" s="54">
        <f>(1-food_insecure)*(0.49)+food_insecure*(0.7)</f>
        <v>0.56559999999999999</v>
      </c>
      <c r="O24" s="54">
        <f>(1-food_insecure)*(0.49)+food_insecure*(0.7)</f>
        <v>0.56559999999999999</v>
      </c>
    </row>
    <row r="25" spans="1:15" ht="15.75" customHeight="1" x14ac:dyDescent="0.25">
      <c r="B25" s="101" t="s">
        <v>219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  <c r="H25" s="55">
        <v>0</v>
      </c>
      <c r="I25" s="55">
        <v>0</v>
      </c>
      <c r="J25" s="55">
        <v>0</v>
      </c>
      <c r="K25" s="55">
        <v>0</v>
      </c>
      <c r="L25" s="54">
        <f>(1-food_insecure)*(0.21)*(1-school_attendance) + food_insecure*(0.3)*(1-school_attendance)</f>
        <v>0.1570752</v>
      </c>
      <c r="M25" s="54">
        <f>(1-food_insecure)*(0.21)+food_insecure*(0.3)</f>
        <v>0.2424</v>
      </c>
      <c r="N25" s="54">
        <f>(1-food_insecure)*(0.21)+food_insecure*(0.3)</f>
        <v>0.2424</v>
      </c>
      <c r="O25" s="54">
        <f>(1-food_insecure)*(0.21)+food_insecure*(0.3)</f>
        <v>0.2424</v>
      </c>
    </row>
    <row r="26" spans="1:15" ht="15.75" customHeight="1" x14ac:dyDescent="0.25">
      <c r="B26" s="101" t="s">
        <v>220</v>
      </c>
      <c r="C26" s="55">
        <v>0</v>
      </c>
      <c r="D26" s="55">
        <v>0</v>
      </c>
      <c r="E26" s="55">
        <v>0</v>
      </c>
      <c r="F26" s="55">
        <v>0</v>
      </c>
      <c r="G26" s="55">
        <v>0</v>
      </c>
      <c r="H26" s="55">
        <v>0</v>
      </c>
      <c r="I26" s="55">
        <v>0</v>
      </c>
      <c r="J26" s="55">
        <v>0</v>
      </c>
      <c r="K26" s="55">
        <v>0</v>
      </c>
      <c r="L26" s="54">
        <f>(1-food_insecure)*(0.3)*(1-school_attendance)</f>
        <v>0.12441600000000001</v>
      </c>
      <c r="M26" s="54">
        <f>(1-food_insecure)*(0.3)</f>
        <v>0.192</v>
      </c>
      <c r="N26" s="54">
        <f>(1-food_insecure)*(0.3)</f>
        <v>0.192</v>
      </c>
      <c r="O26" s="54">
        <f>(1-food_insecure)*(0.3)</f>
        <v>0.192</v>
      </c>
    </row>
    <row r="27" spans="1:15" ht="15.75" customHeight="1" x14ac:dyDescent="0.25">
      <c r="B27" s="101" t="s">
        <v>221</v>
      </c>
      <c r="C27" s="55">
        <v>0</v>
      </c>
      <c r="D27" s="55">
        <v>0</v>
      </c>
      <c r="E27" s="55">
        <v>0</v>
      </c>
      <c r="F27" s="55">
        <v>0</v>
      </c>
      <c r="G27" s="55">
        <v>0</v>
      </c>
      <c r="H27" s="55">
        <v>0</v>
      </c>
      <c r="I27" s="55">
        <v>0</v>
      </c>
      <c r="J27" s="55">
        <v>0</v>
      </c>
      <c r="K27" s="55">
        <v>0</v>
      </c>
      <c r="L27" s="54">
        <f>(1-food_insecure)*1*school_attendance + food_insecure*1*school_attendance</f>
        <v>0.35199999999999998</v>
      </c>
      <c r="M27" s="54">
        <v>0</v>
      </c>
      <c r="N27" s="54">
        <v>0</v>
      </c>
      <c r="O27" s="54">
        <v>0</v>
      </c>
    </row>
    <row r="28" spans="1:15" ht="15.75" customHeight="1" x14ac:dyDescent="0.2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3">
      <c r="A29" s="4" t="s">
        <v>35</v>
      </c>
      <c r="B29" s="14" t="s">
        <v>63</v>
      </c>
      <c r="C29" s="54">
        <v>0</v>
      </c>
      <c r="D29" s="54">
        <v>0</v>
      </c>
      <c r="E29" s="54">
        <f t="shared" ref="E29:O29" si="0">frac_maize</f>
        <v>0.05</v>
      </c>
      <c r="F29" s="54">
        <f t="shared" si="0"/>
        <v>0.05</v>
      </c>
      <c r="G29" s="54">
        <f t="shared" si="0"/>
        <v>0.05</v>
      </c>
      <c r="H29" s="54">
        <f t="shared" si="0"/>
        <v>0.05</v>
      </c>
      <c r="I29" s="54">
        <f t="shared" si="0"/>
        <v>0.05</v>
      </c>
      <c r="J29" s="54">
        <f t="shared" si="0"/>
        <v>0.05</v>
      </c>
      <c r="K29" s="54">
        <f t="shared" si="0"/>
        <v>0.05</v>
      </c>
      <c r="L29" s="54">
        <f t="shared" si="0"/>
        <v>0.05</v>
      </c>
      <c r="M29" s="54">
        <f t="shared" si="0"/>
        <v>0.05</v>
      </c>
      <c r="N29" s="54">
        <f t="shared" si="0"/>
        <v>0.05</v>
      </c>
      <c r="O29" s="54">
        <f t="shared" si="0"/>
        <v>0.05</v>
      </c>
    </row>
    <row r="30" spans="1:15" ht="15.75" customHeight="1" x14ac:dyDescent="0.25">
      <c r="B30" s="14" t="s">
        <v>64</v>
      </c>
      <c r="C30" s="54">
        <v>0</v>
      </c>
      <c r="D30" s="54">
        <v>0</v>
      </c>
      <c r="E30" s="54">
        <f t="shared" ref="E30:O30" si="1">frac_rice</f>
        <v>0.8</v>
      </c>
      <c r="F30" s="54">
        <f t="shared" si="1"/>
        <v>0.8</v>
      </c>
      <c r="G30" s="54">
        <f t="shared" si="1"/>
        <v>0.8</v>
      </c>
      <c r="H30" s="54">
        <f t="shared" si="1"/>
        <v>0.8</v>
      </c>
      <c r="I30" s="54">
        <f t="shared" si="1"/>
        <v>0.8</v>
      </c>
      <c r="J30" s="54">
        <f t="shared" si="1"/>
        <v>0.8</v>
      </c>
      <c r="K30" s="54">
        <f t="shared" si="1"/>
        <v>0.8</v>
      </c>
      <c r="L30" s="54">
        <f t="shared" si="1"/>
        <v>0.8</v>
      </c>
      <c r="M30" s="54">
        <f t="shared" si="1"/>
        <v>0.8</v>
      </c>
      <c r="N30" s="54">
        <f t="shared" si="1"/>
        <v>0.8</v>
      </c>
      <c r="O30" s="54">
        <f t="shared" si="1"/>
        <v>0.8</v>
      </c>
    </row>
    <row r="31" spans="1:15" ht="15.75" customHeight="1" x14ac:dyDescent="0.25">
      <c r="B31" s="14" t="s">
        <v>62</v>
      </c>
      <c r="C31" s="54">
        <v>0</v>
      </c>
      <c r="D31" s="54">
        <v>0</v>
      </c>
      <c r="E31" s="54">
        <f t="shared" ref="E31:O31" si="2">frac_wheat</f>
        <v>0.12</v>
      </c>
      <c r="F31" s="54">
        <f t="shared" si="2"/>
        <v>0.12</v>
      </c>
      <c r="G31" s="54">
        <f t="shared" si="2"/>
        <v>0.12</v>
      </c>
      <c r="H31" s="54">
        <f t="shared" si="2"/>
        <v>0.12</v>
      </c>
      <c r="I31" s="54">
        <f t="shared" si="2"/>
        <v>0.12</v>
      </c>
      <c r="J31" s="54">
        <f t="shared" si="2"/>
        <v>0.12</v>
      </c>
      <c r="K31" s="54">
        <f t="shared" si="2"/>
        <v>0.12</v>
      </c>
      <c r="L31" s="54">
        <f t="shared" si="2"/>
        <v>0.12</v>
      </c>
      <c r="M31" s="54">
        <f t="shared" si="2"/>
        <v>0.12</v>
      </c>
      <c r="N31" s="54">
        <f t="shared" si="2"/>
        <v>0.12</v>
      </c>
      <c r="O31" s="54">
        <f t="shared" si="2"/>
        <v>0.12</v>
      </c>
    </row>
    <row r="32" spans="1:15" ht="15.75" customHeight="1" x14ac:dyDescent="0.25">
      <c r="B32" s="14" t="s">
        <v>47</v>
      </c>
      <c r="C32" s="54">
        <v>0</v>
      </c>
      <c r="D32" s="54">
        <v>0</v>
      </c>
      <c r="E32" s="54">
        <v>1</v>
      </c>
      <c r="F32" s="54">
        <v>1</v>
      </c>
      <c r="G32" s="54">
        <v>1</v>
      </c>
      <c r="H32" s="54">
        <v>1</v>
      </c>
      <c r="I32" s="54">
        <v>1</v>
      </c>
      <c r="J32" s="54">
        <v>1</v>
      </c>
      <c r="K32" s="54">
        <v>1</v>
      </c>
      <c r="L32" s="54">
        <v>1</v>
      </c>
      <c r="M32" s="54">
        <v>1</v>
      </c>
      <c r="N32" s="54">
        <v>1</v>
      </c>
      <c r="O32" s="54">
        <v>1</v>
      </c>
    </row>
    <row r="33" spans="1:15" ht="15.75" customHeight="1" x14ac:dyDescent="0.25">
      <c r="B33" s="14" t="s">
        <v>34</v>
      </c>
      <c r="C33" s="54">
        <f t="shared" ref="C33:O33" si="3">frac_malaria_risk</f>
        <v>0.1</v>
      </c>
      <c r="D33" s="54">
        <f t="shared" si="3"/>
        <v>0.1</v>
      </c>
      <c r="E33" s="54">
        <f t="shared" si="3"/>
        <v>0.1</v>
      </c>
      <c r="F33" s="54">
        <f t="shared" si="3"/>
        <v>0.1</v>
      </c>
      <c r="G33" s="54">
        <f t="shared" si="3"/>
        <v>0.1</v>
      </c>
      <c r="H33" s="54">
        <f t="shared" si="3"/>
        <v>0.1</v>
      </c>
      <c r="I33" s="54">
        <f t="shared" si="3"/>
        <v>0.1</v>
      </c>
      <c r="J33" s="54">
        <f t="shared" si="3"/>
        <v>0.1</v>
      </c>
      <c r="K33" s="54">
        <f t="shared" si="3"/>
        <v>0.1</v>
      </c>
      <c r="L33" s="54">
        <f t="shared" si="3"/>
        <v>0.1</v>
      </c>
      <c r="M33" s="54">
        <f t="shared" si="3"/>
        <v>0.1</v>
      </c>
      <c r="N33" s="54">
        <f t="shared" si="3"/>
        <v>0.1</v>
      </c>
      <c r="O33" s="54">
        <f t="shared" si="3"/>
        <v>0.1</v>
      </c>
    </row>
    <row r="34" spans="1:15" ht="15.75" customHeight="1" x14ac:dyDescent="0.25">
      <c r="B34" s="52" t="s">
        <v>94</v>
      </c>
      <c r="C34" s="54">
        <v>1</v>
      </c>
      <c r="D34" s="54">
        <v>1</v>
      </c>
      <c r="E34" s="54">
        <v>1</v>
      </c>
      <c r="F34" s="54">
        <v>1</v>
      </c>
      <c r="G34" s="54">
        <v>1</v>
      </c>
      <c r="H34" s="54">
        <v>1</v>
      </c>
      <c r="I34" s="54">
        <v>1</v>
      </c>
      <c r="J34" s="54">
        <v>1</v>
      </c>
      <c r="K34" s="54">
        <v>1</v>
      </c>
      <c r="L34" s="54">
        <v>1</v>
      </c>
      <c r="M34" s="54">
        <v>1</v>
      </c>
      <c r="N34" s="54">
        <v>1</v>
      </c>
      <c r="O34" s="54">
        <v>1</v>
      </c>
    </row>
    <row r="35" spans="1:15" ht="15.75" customHeight="1" x14ac:dyDescent="0.25">
      <c r="A35" s="5"/>
      <c r="B35" s="52" t="s">
        <v>93</v>
      </c>
      <c r="C35" s="54">
        <v>1</v>
      </c>
      <c r="D35" s="54">
        <v>1</v>
      </c>
      <c r="E35" s="54">
        <v>1</v>
      </c>
      <c r="F35" s="54">
        <v>1</v>
      </c>
      <c r="G35" s="54">
        <v>1</v>
      </c>
      <c r="H35" s="54">
        <v>1</v>
      </c>
      <c r="I35" s="54">
        <v>1</v>
      </c>
      <c r="J35" s="54">
        <v>1</v>
      </c>
      <c r="K35" s="54">
        <v>1</v>
      </c>
      <c r="L35" s="54">
        <v>1</v>
      </c>
      <c r="M35" s="54">
        <v>1</v>
      </c>
      <c r="N35" s="54">
        <v>1</v>
      </c>
      <c r="O35" s="54">
        <v>1</v>
      </c>
    </row>
    <row r="36" spans="1:15" s="5" customFormat="1" ht="15.75" customHeight="1" x14ac:dyDescent="0.25">
      <c r="B36" s="52" t="s">
        <v>92</v>
      </c>
      <c r="C36" s="54">
        <v>1</v>
      </c>
      <c r="D36" s="54">
        <v>1</v>
      </c>
      <c r="E36" s="54">
        <v>1</v>
      </c>
      <c r="F36" s="54">
        <v>1</v>
      </c>
      <c r="G36" s="54">
        <v>1</v>
      </c>
      <c r="H36" s="54">
        <v>1</v>
      </c>
      <c r="I36" s="54">
        <v>1</v>
      </c>
      <c r="J36" s="54">
        <v>1</v>
      </c>
      <c r="K36" s="54">
        <v>1</v>
      </c>
      <c r="L36" s="54">
        <v>1</v>
      </c>
      <c r="M36" s="54">
        <v>1</v>
      </c>
      <c r="N36" s="54">
        <v>1</v>
      </c>
      <c r="O36" s="54">
        <v>1</v>
      </c>
    </row>
    <row r="37" spans="1:15" s="5" customFormat="1" ht="15.75" customHeight="1" x14ac:dyDescent="0.25">
      <c r="B37" s="52" t="s">
        <v>90</v>
      </c>
      <c r="C37" s="54">
        <v>1</v>
      </c>
      <c r="D37" s="54">
        <v>1</v>
      </c>
      <c r="E37" s="54">
        <v>1</v>
      </c>
      <c r="F37" s="54">
        <v>1</v>
      </c>
      <c r="G37" s="54">
        <v>1</v>
      </c>
      <c r="H37" s="54">
        <v>1</v>
      </c>
      <c r="I37" s="54">
        <v>1</v>
      </c>
      <c r="J37" s="54">
        <v>1</v>
      </c>
      <c r="K37" s="54">
        <v>1</v>
      </c>
      <c r="L37" s="54">
        <v>1</v>
      </c>
      <c r="M37" s="54">
        <v>1</v>
      </c>
      <c r="N37" s="54">
        <v>1</v>
      </c>
      <c r="O37" s="54">
        <v>1</v>
      </c>
    </row>
    <row r="38" spans="1:15" s="5" customFormat="1" ht="15.75" customHeight="1" x14ac:dyDescent="0.25">
      <c r="B38" s="52" t="s">
        <v>91</v>
      </c>
      <c r="C38" s="54">
        <v>1</v>
      </c>
      <c r="D38" s="54">
        <v>1</v>
      </c>
      <c r="E38" s="54">
        <v>1</v>
      </c>
      <c r="F38" s="54">
        <v>1</v>
      </c>
      <c r="G38" s="54">
        <v>1</v>
      </c>
      <c r="H38" s="54">
        <v>1</v>
      </c>
      <c r="I38" s="54">
        <v>1</v>
      </c>
      <c r="J38" s="54">
        <v>1</v>
      </c>
      <c r="K38" s="54">
        <v>1</v>
      </c>
      <c r="L38" s="54">
        <v>1</v>
      </c>
      <c r="M38" s="54">
        <v>1</v>
      </c>
      <c r="N38" s="54">
        <v>1</v>
      </c>
      <c r="O38" s="54">
        <v>1</v>
      </c>
    </row>
    <row r="39" spans="1:15" ht="15.75" customHeight="1" x14ac:dyDescent="0.25">
      <c r="B39" s="52"/>
    </row>
  </sheetData>
  <sortState ref="B13:O20">
    <sortCondition ref="B13:B20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A13" sqref="A13"/>
    </sheetView>
  </sheetViews>
  <sheetFormatPr defaultColWidth="11.453125" defaultRowHeight="12.5" x14ac:dyDescent="0.25"/>
  <cols>
    <col min="1" max="1" width="33.6328125" style="58" customWidth="1"/>
    <col min="2" max="2" width="12.453125" style="58" customWidth="1"/>
    <col min="3" max="4" width="11.453125" style="58"/>
    <col min="5" max="5" width="17.453125" style="58" customWidth="1"/>
    <col min="6" max="16384" width="11.453125" style="58"/>
  </cols>
  <sheetData>
    <row r="1" spans="1:5" ht="13" x14ac:dyDescent="0.3">
      <c r="A1" s="63" t="s">
        <v>186</v>
      </c>
      <c r="B1" s="63" t="s">
        <v>185</v>
      </c>
      <c r="C1" s="63" t="s">
        <v>184</v>
      </c>
      <c r="D1" s="63" t="s">
        <v>183</v>
      </c>
      <c r="E1" s="63" t="s">
        <v>182</v>
      </c>
    </row>
    <row r="2" spans="1:5" ht="14" x14ac:dyDescent="0.3">
      <c r="A2" s="62" t="s">
        <v>181</v>
      </c>
      <c r="B2" s="61">
        <v>0.9</v>
      </c>
      <c r="C2" s="60">
        <v>0.09</v>
      </c>
      <c r="D2" s="58">
        <v>0.8</v>
      </c>
      <c r="E2" s="58">
        <f t="shared" ref="E2:E10" si="0">C2*D2</f>
        <v>7.1999999999999995E-2</v>
      </c>
    </row>
    <row r="3" spans="1:5" ht="14" x14ac:dyDescent="0.3">
      <c r="A3" s="62" t="s">
        <v>180</v>
      </c>
      <c r="B3" s="61">
        <v>1</v>
      </c>
      <c r="C3" s="60">
        <v>0.02</v>
      </c>
      <c r="D3" s="58">
        <v>1.9</v>
      </c>
      <c r="E3" s="58">
        <f t="shared" si="0"/>
        <v>3.7999999999999999E-2</v>
      </c>
    </row>
    <row r="4" spans="1:5" ht="14" x14ac:dyDescent="0.3">
      <c r="A4" s="62" t="s">
        <v>179</v>
      </c>
      <c r="B4" s="61">
        <v>1</v>
      </c>
      <c r="C4" s="60">
        <v>0.08</v>
      </c>
      <c r="D4" s="58">
        <v>2</v>
      </c>
      <c r="E4" s="58">
        <f t="shared" si="0"/>
        <v>0.16</v>
      </c>
    </row>
    <row r="5" spans="1:5" ht="14" x14ac:dyDescent="0.3">
      <c r="A5" s="62" t="s">
        <v>178</v>
      </c>
      <c r="B5" s="61">
        <v>1</v>
      </c>
      <c r="C5" s="60">
        <v>0.18</v>
      </c>
      <c r="D5" s="58">
        <v>0.7</v>
      </c>
      <c r="E5" s="58">
        <f t="shared" si="0"/>
        <v>0.126</v>
      </c>
    </row>
    <row r="6" spans="1:5" ht="14" x14ac:dyDescent="0.3">
      <c r="A6" s="62" t="s">
        <v>177</v>
      </c>
      <c r="B6" s="61">
        <v>1</v>
      </c>
      <c r="C6" s="60">
        <v>0.02</v>
      </c>
      <c r="D6" s="58">
        <v>0.7</v>
      </c>
      <c r="E6" s="58">
        <f t="shared" si="0"/>
        <v>1.3999999999999999E-2</v>
      </c>
    </row>
    <row r="7" spans="1:5" ht="14" x14ac:dyDescent="0.3">
      <c r="A7" s="62" t="s">
        <v>176</v>
      </c>
      <c r="B7" s="61">
        <v>0.93</v>
      </c>
      <c r="C7" s="60">
        <v>0.45</v>
      </c>
      <c r="D7" s="58">
        <v>0.9</v>
      </c>
      <c r="E7" s="58">
        <f t="shared" si="0"/>
        <v>0.40500000000000003</v>
      </c>
    </row>
    <row r="8" spans="1:5" ht="14" x14ac:dyDescent="0.3">
      <c r="A8" s="62" t="s">
        <v>175</v>
      </c>
      <c r="B8" s="61">
        <v>0.5</v>
      </c>
      <c r="C8" s="60">
        <v>0.03</v>
      </c>
      <c r="D8" s="58">
        <v>0</v>
      </c>
      <c r="E8" s="58">
        <f t="shared" si="0"/>
        <v>0</v>
      </c>
    </row>
    <row r="9" spans="1:5" ht="14" x14ac:dyDescent="0.3">
      <c r="A9" s="62" t="s">
        <v>174</v>
      </c>
      <c r="B9" s="61">
        <v>0.5</v>
      </c>
      <c r="C9" s="60">
        <v>0.11</v>
      </c>
      <c r="D9" s="58">
        <v>0</v>
      </c>
      <c r="E9" s="58">
        <f t="shared" si="0"/>
        <v>0</v>
      </c>
    </row>
    <row r="10" spans="1:5" ht="14" x14ac:dyDescent="0.3">
      <c r="A10" s="62" t="s">
        <v>173</v>
      </c>
      <c r="B10" s="61">
        <v>0.98</v>
      </c>
      <c r="C10" s="60">
        <v>0.01</v>
      </c>
      <c r="D10" s="58">
        <v>0.6</v>
      </c>
      <c r="E10" s="58">
        <f t="shared" si="0"/>
        <v>6.0000000000000001E-3</v>
      </c>
    </row>
    <row r="11" spans="1:5" x14ac:dyDescent="0.25">
      <c r="C11" s="5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L40"/>
  <sheetViews>
    <sheetView tabSelected="1" zoomScale="85" zoomScaleNormal="85" workbookViewId="0">
      <selection activeCell="K1" sqref="K1:K40"/>
    </sheetView>
  </sheetViews>
  <sheetFormatPr defaultColWidth="14.453125" defaultRowHeight="15.75" customHeight="1" x14ac:dyDescent="0.25"/>
  <cols>
    <col min="1" max="1" width="8.453125" style="15" customWidth="1"/>
    <col min="2" max="10" width="16.81640625" style="15" customWidth="1"/>
    <col min="11" max="11" width="18.6328125" style="15" customWidth="1"/>
    <col min="12" max="12" width="16.81640625" style="15" customWidth="1"/>
    <col min="13" max="16384" width="14.453125" style="15"/>
  </cols>
  <sheetData>
    <row r="1" spans="1:12" s="28" customFormat="1" ht="30" customHeight="1" x14ac:dyDescent="0.3">
      <c r="A1" s="46" t="s">
        <v>0</v>
      </c>
      <c r="B1" s="36" t="s">
        <v>125</v>
      </c>
      <c r="C1" s="31" t="s">
        <v>126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124</v>
      </c>
      <c r="I1" s="31" t="s">
        <v>127</v>
      </c>
      <c r="J1" s="31" t="s">
        <v>150</v>
      </c>
      <c r="K1" s="31" t="s">
        <v>149</v>
      </c>
      <c r="L1" s="31" t="s">
        <v>36</v>
      </c>
    </row>
    <row r="2" spans="1:12" ht="15.75" customHeight="1" x14ac:dyDescent="0.25">
      <c r="A2" s="9">
        <f>start_year</f>
        <v>2017</v>
      </c>
      <c r="B2" s="8">
        <v>3095470</v>
      </c>
      <c r="C2" s="29">
        <v>15402200</v>
      </c>
      <c r="D2" s="29">
        <v>8785700</v>
      </c>
      <c r="E2" s="29">
        <v>13889200</v>
      </c>
      <c r="F2" s="29">
        <v>12671800</v>
      </c>
      <c r="G2" s="29">
        <v>9362400</v>
      </c>
      <c r="H2" s="29">
        <v>173766200</v>
      </c>
      <c r="I2" s="30">
        <f t="shared" ref="I2:I15" si="0">D2+E2+F2+G2</f>
        <v>44709100</v>
      </c>
      <c r="J2" s="30">
        <f t="shared" ref="J2:J15" si="1">(B2 + stillbirth*B2/(1000-stillbirth))/(1-abortion)</f>
        <v>3650590.4685349194</v>
      </c>
      <c r="K2" s="30">
        <f t="shared" ref="K2:K15" si="2">D2/I2</f>
        <v>0.19650809343064388</v>
      </c>
      <c r="L2" s="30">
        <f>I2-J2</f>
        <v>41058509.531465083</v>
      </c>
    </row>
    <row r="3" spans="1:12" ht="15.75" customHeight="1" x14ac:dyDescent="0.25">
      <c r="A3" s="9">
        <f>IF($A$2+ROW(A3)-2&lt;=end_year,A2+1,"")</f>
        <v>2018</v>
      </c>
      <c r="B3" s="8">
        <v>3071259</v>
      </c>
      <c r="C3" s="29">
        <v>15629400.000000002</v>
      </c>
      <c r="D3" s="29">
        <v>8937400.0000000019</v>
      </c>
      <c r="E3" s="29">
        <v>14228400.000000002</v>
      </c>
      <c r="F3" s="29">
        <v>12949600</v>
      </c>
      <c r="G3" s="29">
        <v>9576800</v>
      </c>
      <c r="H3" s="29">
        <v>175848400</v>
      </c>
      <c r="I3" s="30">
        <f t="shared" si="0"/>
        <v>45692200</v>
      </c>
      <c r="J3" s="30">
        <f t="shared" si="1"/>
        <v>3622037.632993402</v>
      </c>
      <c r="K3" s="30">
        <f t="shared" si="2"/>
        <v>0.19560012431005733</v>
      </c>
      <c r="L3" s="30">
        <f t="shared" ref="L3:L15" si="3">I3-J3</f>
        <v>42070162.3670066</v>
      </c>
    </row>
    <row r="4" spans="1:12" ht="15.75" customHeight="1" x14ac:dyDescent="0.25">
      <c r="A4" s="9">
        <f>IF($A$2+ROW(A4)-2&lt;=end_year,A3+1,"")</f>
        <v>2019</v>
      </c>
      <c r="B4" s="8">
        <v>3045241</v>
      </c>
      <c r="C4" s="29">
        <v>15856600.000000002</v>
      </c>
      <c r="D4" s="29">
        <v>9089100.0000000019</v>
      </c>
      <c r="E4" s="29">
        <v>14567600.000000002</v>
      </c>
      <c r="F4" s="29">
        <v>13227400</v>
      </c>
      <c r="G4" s="29">
        <v>9791200.0000000019</v>
      </c>
      <c r="H4" s="29">
        <v>177930600</v>
      </c>
      <c r="I4" s="30">
        <f t="shared" si="0"/>
        <v>46675300</v>
      </c>
      <c r="J4" s="30">
        <f t="shared" si="1"/>
        <v>3591353.7424015561</v>
      </c>
      <c r="K4" s="30">
        <f t="shared" si="2"/>
        <v>0.19473040344679096</v>
      </c>
      <c r="L4" s="30">
        <f t="shared" si="3"/>
        <v>43083946.257598445</v>
      </c>
    </row>
    <row r="5" spans="1:12" ht="15.75" customHeight="1" x14ac:dyDescent="0.25">
      <c r="A5" s="9">
        <f>IF($A$2+ROW(A5)-2&lt;=end_year,A4+1,"")</f>
        <v>2020</v>
      </c>
      <c r="B5" s="8">
        <v>3017266</v>
      </c>
      <c r="C5" s="29">
        <v>16083800.000000004</v>
      </c>
      <c r="D5" s="29">
        <v>9240800.0000000037</v>
      </c>
      <c r="E5" s="29">
        <v>14906800.000000004</v>
      </c>
      <c r="F5" s="29">
        <v>13505200</v>
      </c>
      <c r="G5" s="29">
        <v>10005600.000000004</v>
      </c>
      <c r="H5" s="29">
        <v>180012800</v>
      </c>
      <c r="I5" s="30">
        <f t="shared" si="0"/>
        <v>47658400.000000015</v>
      </c>
      <c r="J5" s="30">
        <f t="shared" si="1"/>
        <v>3558361.8967828737</v>
      </c>
      <c r="K5" s="30">
        <f t="shared" si="2"/>
        <v>0.19389656387960991</v>
      </c>
      <c r="L5" s="30">
        <f t="shared" si="3"/>
        <v>44100038.10321714</v>
      </c>
    </row>
    <row r="6" spans="1:12" ht="15.75" customHeight="1" x14ac:dyDescent="0.25">
      <c r="A6" s="9">
        <f>IF($A$2+ROW(A6)-2&lt;=end_year,A5+1,"")</f>
        <v>2021</v>
      </c>
      <c r="B6" s="8">
        <v>2990677</v>
      </c>
      <c r="C6" s="29">
        <v>16311000.000000004</v>
      </c>
      <c r="D6" s="29">
        <v>9392500.0000000037</v>
      </c>
      <c r="E6" s="29">
        <v>15246000.000000004</v>
      </c>
      <c r="F6" s="29">
        <v>13783000</v>
      </c>
      <c r="G6" s="29">
        <v>10220000.000000004</v>
      </c>
      <c r="H6" s="29">
        <v>182095000</v>
      </c>
      <c r="I6" s="30">
        <f t="shared" si="0"/>
        <v>48641500.000000015</v>
      </c>
      <c r="J6" s="30">
        <f t="shared" si="1"/>
        <v>3527004.6069471212</v>
      </c>
      <c r="K6" s="30">
        <f t="shared" si="2"/>
        <v>0.1930964300031866</v>
      </c>
      <c r="L6" s="30">
        <f t="shared" si="3"/>
        <v>45114495.393052891</v>
      </c>
    </row>
    <row r="7" spans="1:12" ht="15.75" customHeight="1" x14ac:dyDescent="0.25">
      <c r="A7" s="9">
        <f>IF($A$2+ROW(A7)-2&lt;=end_year,A6+1,"")</f>
        <v>2022</v>
      </c>
      <c r="B7" s="8">
        <v>2962144</v>
      </c>
      <c r="C7" s="29">
        <v>16190600.000000004</v>
      </c>
      <c r="D7" s="29">
        <v>9004300.0000000037</v>
      </c>
      <c r="E7" s="29">
        <v>15785700.000000004</v>
      </c>
      <c r="F7" s="29">
        <v>13711700</v>
      </c>
      <c r="G7" s="29">
        <v>10609600.000000004</v>
      </c>
      <c r="H7" s="29">
        <v>183822800</v>
      </c>
      <c r="I7" s="30">
        <f t="shared" si="0"/>
        <v>49111300.000000015</v>
      </c>
      <c r="J7" s="30">
        <f t="shared" si="1"/>
        <v>3493354.6934158299</v>
      </c>
      <c r="K7" s="30">
        <f t="shared" si="2"/>
        <v>0.1833447699409301</v>
      </c>
      <c r="L7" s="30">
        <f t="shared" si="3"/>
        <v>45617945.306584187</v>
      </c>
    </row>
    <row r="8" spans="1:12" ht="15.75" customHeight="1" x14ac:dyDescent="0.25">
      <c r="A8" s="9">
        <f>IF($A$2+ROW(A8)-2&lt;=end_year,A7+1,"")</f>
        <v>2023</v>
      </c>
      <c r="B8" s="8">
        <v>2931643</v>
      </c>
      <c r="C8" s="29">
        <v>16070200.000000004</v>
      </c>
      <c r="D8" s="29">
        <v>8616100.0000000019</v>
      </c>
      <c r="E8" s="29">
        <v>16325400.000000004</v>
      </c>
      <c r="F8" s="29">
        <v>13640400</v>
      </c>
      <c r="G8" s="29">
        <v>10999200.000000002</v>
      </c>
      <c r="H8" s="29">
        <v>185550600</v>
      </c>
      <c r="I8" s="30">
        <f t="shared" si="0"/>
        <v>49581100.000000007</v>
      </c>
      <c r="J8" s="30">
        <f t="shared" si="1"/>
        <v>3457383.8521927581</v>
      </c>
      <c r="K8" s="30">
        <f t="shared" si="2"/>
        <v>0.17377791134121673</v>
      </c>
      <c r="L8" s="30">
        <f t="shared" si="3"/>
        <v>46123716.147807248</v>
      </c>
    </row>
    <row r="9" spans="1:12" ht="15.75" customHeight="1" x14ac:dyDescent="0.25">
      <c r="A9" s="9">
        <f>IF($A$2+ROW(A9)-2&lt;=end_year,A8+1,"")</f>
        <v>2024</v>
      </c>
      <c r="B9" s="8">
        <v>2899255</v>
      </c>
      <c r="C9" s="29">
        <v>15949800.000000006</v>
      </c>
      <c r="D9" s="29">
        <v>8227900.0000000019</v>
      </c>
      <c r="E9" s="29">
        <v>16865100.000000004</v>
      </c>
      <c r="F9" s="29">
        <v>13569100</v>
      </c>
      <c r="G9" s="29">
        <v>11388800</v>
      </c>
      <c r="H9" s="29">
        <v>187278400</v>
      </c>
      <c r="I9" s="30">
        <f t="shared" si="0"/>
        <v>50050900.000000007</v>
      </c>
      <c r="J9" s="30">
        <f t="shared" si="1"/>
        <v>3419187.609265219</v>
      </c>
      <c r="K9" s="30">
        <f t="shared" si="2"/>
        <v>0.16439065031797631</v>
      </c>
      <c r="L9" s="30">
        <f t="shared" si="3"/>
        <v>46631712.390734792</v>
      </c>
    </row>
    <row r="10" spans="1:12" ht="15.75" customHeight="1" x14ac:dyDescent="0.25">
      <c r="A10" s="9">
        <f>IF($A$2+ROW(A10)-2&lt;=end_year,A9+1,"")</f>
        <v>2025</v>
      </c>
      <c r="B10" s="8">
        <v>2865008</v>
      </c>
      <c r="C10" s="29">
        <v>15829400.000000006</v>
      </c>
      <c r="D10" s="29">
        <v>7839700.0000000019</v>
      </c>
      <c r="E10" s="29">
        <v>17404800.000000004</v>
      </c>
      <c r="F10" s="29">
        <v>13497800</v>
      </c>
      <c r="G10" s="29">
        <v>11778400</v>
      </c>
      <c r="H10" s="29">
        <v>189006200</v>
      </c>
      <c r="I10" s="30">
        <f t="shared" si="0"/>
        <v>50520700.000000007</v>
      </c>
      <c r="J10" s="30">
        <f t="shared" si="1"/>
        <v>3378798.9859621613</v>
      </c>
      <c r="K10" s="30">
        <f t="shared" si="2"/>
        <v>0.15517797655218554</v>
      </c>
      <c r="L10" s="30">
        <f t="shared" si="3"/>
        <v>47141901.014037848</v>
      </c>
    </row>
    <row r="11" spans="1:12" ht="15.75" customHeight="1" x14ac:dyDescent="0.25">
      <c r="A11" s="9">
        <f>IF($A$2+ROW(A11)-2&lt;=end_year,A10+1,"")</f>
        <v>2026</v>
      </c>
      <c r="B11" s="8">
        <v>2836142</v>
      </c>
      <c r="C11" s="29">
        <v>15709000.000000006</v>
      </c>
      <c r="D11" s="29">
        <v>7451500.0000000019</v>
      </c>
      <c r="E11" s="29">
        <v>17944500</v>
      </c>
      <c r="F11" s="29">
        <v>13426500</v>
      </c>
      <c r="G11" s="29">
        <v>12168000</v>
      </c>
      <c r="H11" s="29">
        <v>190734000</v>
      </c>
      <c r="I11" s="30">
        <f t="shared" si="0"/>
        <v>50990500</v>
      </c>
      <c r="J11" s="30">
        <f t="shared" si="1"/>
        <v>3344756.3544830228</v>
      </c>
      <c r="K11" s="30">
        <f t="shared" si="2"/>
        <v>0.1461350643747365</v>
      </c>
      <c r="L11" s="30">
        <f t="shared" si="3"/>
        <v>47645743.645516977</v>
      </c>
    </row>
    <row r="12" spans="1:12" ht="15.75" customHeight="1" x14ac:dyDescent="0.25">
      <c r="A12" s="9">
        <f>IF($A$2+ROW(A12)-2&lt;=end_year,A11+1,"")</f>
        <v>2027</v>
      </c>
      <c r="B12" s="8">
        <v>2805541</v>
      </c>
      <c r="C12" s="29">
        <v>15358200.000000006</v>
      </c>
      <c r="D12" s="29">
        <v>7411700.0000000019</v>
      </c>
      <c r="E12" s="29">
        <v>17710400</v>
      </c>
      <c r="F12" s="29">
        <v>13766300</v>
      </c>
      <c r="G12" s="29">
        <v>12445000</v>
      </c>
      <c r="H12" s="29">
        <v>192287600</v>
      </c>
      <c r="I12" s="30">
        <f t="shared" si="0"/>
        <v>51333400</v>
      </c>
      <c r="J12" s="30">
        <f t="shared" si="1"/>
        <v>3308667.5799422786</v>
      </c>
      <c r="K12" s="30">
        <f t="shared" si="2"/>
        <v>0.14438357872262508</v>
      </c>
      <c r="L12" s="30">
        <f t="shared" si="3"/>
        <v>48024732.420057721</v>
      </c>
    </row>
    <row r="13" spans="1:12" ht="15.75" customHeight="1" x14ac:dyDescent="0.25">
      <c r="A13" s="9">
        <f>IF($A$2+ROW(A13)-2&lt;=end_year,A12+1,"")</f>
        <v>2028</v>
      </c>
      <c r="B13" s="8">
        <v>2773236</v>
      </c>
      <c r="C13" s="29">
        <v>15007400.000000007</v>
      </c>
      <c r="D13" s="29">
        <v>7371900.0000000019</v>
      </c>
      <c r="E13" s="29">
        <v>17476300</v>
      </c>
      <c r="F13" s="29">
        <v>14106100</v>
      </c>
      <c r="G13" s="29">
        <v>12722000</v>
      </c>
      <c r="H13" s="29">
        <v>193841200</v>
      </c>
      <c r="I13" s="30">
        <f t="shared" si="0"/>
        <v>51676300</v>
      </c>
      <c r="J13" s="30">
        <f t="shared" si="1"/>
        <v>3270569.2216684073</v>
      </c>
      <c r="K13" s="30">
        <f t="shared" si="2"/>
        <v>0.14265533716616713</v>
      </c>
      <c r="L13" s="30">
        <f t="shared" si="3"/>
        <v>48405730.778331593</v>
      </c>
    </row>
    <row r="14" spans="1:12" ht="15.75" customHeight="1" x14ac:dyDescent="0.25">
      <c r="A14" s="9">
        <f>IF($A$2+ROW(A14)-2&lt;=end_year,A13+1,"")</f>
        <v>2029</v>
      </c>
      <c r="B14" s="8">
        <v>2739273</v>
      </c>
      <c r="C14" s="29">
        <v>14656600.000000007</v>
      </c>
      <c r="D14" s="29">
        <v>7332100.0000000009</v>
      </c>
      <c r="E14" s="29">
        <v>17242200</v>
      </c>
      <c r="F14" s="29">
        <v>14445900</v>
      </c>
      <c r="G14" s="29">
        <v>12999000</v>
      </c>
      <c r="H14" s="29">
        <v>195394800</v>
      </c>
      <c r="I14" s="30">
        <f t="shared" si="0"/>
        <v>52019200</v>
      </c>
      <c r="J14" s="30">
        <f t="shared" si="1"/>
        <v>3230515.5289875376</v>
      </c>
      <c r="K14" s="30">
        <f t="shared" si="2"/>
        <v>0.14094988004429135</v>
      </c>
      <c r="L14" s="30">
        <f t="shared" si="3"/>
        <v>48788684.471012466</v>
      </c>
    </row>
    <row r="15" spans="1:12" ht="15.75" customHeight="1" x14ac:dyDescent="0.25">
      <c r="A15" s="9">
        <f>IF($A$2+ROW(A15)-2&lt;=end_year,A14+1,"")</f>
        <v>2030</v>
      </c>
      <c r="B15" s="8">
        <v>2703670</v>
      </c>
      <c r="C15" s="29">
        <v>14305800.000000007</v>
      </c>
      <c r="D15" s="29">
        <v>7292300.0000000009</v>
      </c>
      <c r="E15" s="29">
        <v>17008100</v>
      </c>
      <c r="F15" s="29">
        <v>14785700</v>
      </c>
      <c r="G15" s="29">
        <v>13276000</v>
      </c>
      <c r="H15" s="29">
        <v>196948400</v>
      </c>
      <c r="I15" s="30">
        <f t="shared" si="0"/>
        <v>52362100</v>
      </c>
      <c r="J15" s="30">
        <f t="shared" si="1"/>
        <v>3188527.7298968509</v>
      </c>
      <c r="K15" s="30">
        <f t="shared" si="2"/>
        <v>0.139266759736527</v>
      </c>
      <c r="L15" s="30">
        <f t="shared" si="3"/>
        <v>49173572.270103149</v>
      </c>
    </row>
    <row r="16" spans="1:12" ht="15.75" customHeight="1" x14ac:dyDescent="0.25">
      <c r="A16" s="9" t="str">
        <f>IF($A$2+ROW(A16)-2&lt;=end_year,A15+1,"")</f>
        <v/>
      </c>
      <c r="B16" s="8"/>
      <c r="C16" s="29"/>
      <c r="D16" s="29"/>
      <c r="E16" s="29"/>
      <c r="F16" s="29"/>
      <c r="G16" s="29"/>
      <c r="H16" s="29"/>
      <c r="I16" s="30">
        <f t="shared" ref="I16:I40" si="4">D16+E16+F16+G16</f>
        <v>0</v>
      </c>
      <c r="J16" s="30">
        <f t="shared" ref="J16:J40" si="5">(B16 + stillbirth*B16/(1000-stillbirth))/(1-abortion)</f>
        <v>0</v>
      </c>
      <c r="K16" s="30" t="e">
        <f t="shared" ref="K16:K40" si="6">D16/I16</f>
        <v>#DIV/0!</v>
      </c>
      <c r="L16" s="30">
        <f t="shared" ref="L16:L40" si="7">I16-J16</f>
        <v>0</v>
      </c>
    </row>
    <row r="17" spans="1:12" ht="15.75" customHeight="1" x14ac:dyDescent="0.25">
      <c r="A17" s="9" t="str">
        <f>IF($A$2+ROW(A17)-2&lt;=end_year,A16+1,"")</f>
        <v/>
      </c>
      <c r="B17" s="8"/>
      <c r="C17" s="29"/>
      <c r="D17" s="29"/>
      <c r="E17" s="29"/>
      <c r="F17" s="29"/>
      <c r="G17" s="29"/>
      <c r="H17" s="29"/>
      <c r="I17" s="30">
        <f t="shared" si="4"/>
        <v>0</v>
      </c>
      <c r="J17" s="30">
        <f t="shared" si="5"/>
        <v>0</v>
      </c>
      <c r="K17" s="30" t="e">
        <f t="shared" si="6"/>
        <v>#DIV/0!</v>
      </c>
      <c r="L17" s="30">
        <f t="shared" si="7"/>
        <v>0</v>
      </c>
    </row>
    <row r="18" spans="1:12" ht="15.75" customHeight="1" x14ac:dyDescent="0.25">
      <c r="A18" s="9" t="str">
        <f>IF($A$2+ROW(A18)-2&lt;=end_year,A17+1,"")</f>
        <v/>
      </c>
      <c r="B18" s="8"/>
      <c r="C18" s="29"/>
      <c r="D18" s="29"/>
      <c r="E18" s="29"/>
      <c r="F18" s="29"/>
      <c r="G18" s="29"/>
      <c r="H18" s="29"/>
      <c r="I18" s="30">
        <f t="shared" si="4"/>
        <v>0</v>
      </c>
      <c r="J18" s="30">
        <f t="shared" si="5"/>
        <v>0</v>
      </c>
      <c r="K18" s="30" t="e">
        <f t="shared" si="6"/>
        <v>#DIV/0!</v>
      </c>
      <c r="L18" s="30">
        <f t="shared" si="7"/>
        <v>0</v>
      </c>
    </row>
    <row r="19" spans="1:12" ht="15.75" customHeight="1" x14ac:dyDescent="0.25">
      <c r="A19" s="9" t="str">
        <f>IF($A$2+ROW(A19)-2&lt;=end_year,A18+1,"")</f>
        <v/>
      </c>
      <c r="B19" s="8"/>
      <c r="C19" s="29"/>
      <c r="D19" s="29"/>
      <c r="E19" s="29"/>
      <c r="F19" s="29"/>
      <c r="G19" s="29"/>
      <c r="H19" s="29"/>
      <c r="I19" s="30">
        <f t="shared" si="4"/>
        <v>0</v>
      </c>
      <c r="J19" s="30">
        <f t="shared" si="5"/>
        <v>0</v>
      </c>
      <c r="K19" s="30" t="e">
        <f t="shared" si="6"/>
        <v>#DIV/0!</v>
      </c>
      <c r="L19" s="30">
        <f t="shared" si="7"/>
        <v>0</v>
      </c>
    </row>
    <row r="20" spans="1:12" ht="15.75" customHeight="1" x14ac:dyDescent="0.25">
      <c r="A20" s="9" t="str">
        <f>IF($A$2+ROW(A20)-2&lt;=end_year,A19+1,"")</f>
        <v/>
      </c>
      <c r="B20" s="8"/>
      <c r="C20" s="29"/>
      <c r="D20" s="29"/>
      <c r="E20" s="29"/>
      <c r="F20" s="29"/>
      <c r="G20" s="29"/>
      <c r="H20" s="29"/>
      <c r="I20" s="30">
        <f t="shared" si="4"/>
        <v>0</v>
      </c>
      <c r="J20" s="30">
        <f t="shared" si="5"/>
        <v>0</v>
      </c>
      <c r="K20" s="30" t="e">
        <f t="shared" si="6"/>
        <v>#DIV/0!</v>
      </c>
      <c r="L20" s="30">
        <f t="shared" si="7"/>
        <v>0</v>
      </c>
    </row>
    <row r="21" spans="1:12" ht="15.75" customHeight="1" x14ac:dyDescent="0.25">
      <c r="A21" s="9" t="str">
        <f>IF($A$2+ROW(A21)-2&lt;=end_year,A20+1,"")</f>
        <v/>
      </c>
      <c r="B21" s="8"/>
      <c r="C21" s="29"/>
      <c r="D21" s="29"/>
      <c r="E21" s="29"/>
      <c r="F21" s="29"/>
      <c r="G21" s="29"/>
      <c r="H21" s="29"/>
      <c r="I21" s="30">
        <f t="shared" si="4"/>
        <v>0</v>
      </c>
      <c r="J21" s="30">
        <f t="shared" si="5"/>
        <v>0</v>
      </c>
      <c r="K21" s="30" t="e">
        <f t="shared" si="6"/>
        <v>#DIV/0!</v>
      </c>
      <c r="L21" s="30">
        <f t="shared" si="7"/>
        <v>0</v>
      </c>
    </row>
    <row r="22" spans="1:12" ht="15.75" customHeight="1" x14ac:dyDescent="0.25">
      <c r="A22" s="9" t="str">
        <f>IF($A$2+ROW(A22)-2&lt;=end_year,A21+1,"")</f>
        <v/>
      </c>
      <c r="B22" s="8"/>
      <c r="C22" s="29"/>
      <c r="D22" s="29"/>
      <c r="E22" s="29"/>
      <c r="F22" s="29"/>
      <c r="G22" s="29"/>
      <c r="H22" s="29"/>
      <c r="I22" s="30">
        <f t="shared" si="4"/>
        <v>0</v>
      </c>
      <c r="J22" s="30">
        <f t="shared" si="5"/>
        <v>0</v>
      </c>
      <c r="K22" s="30" t="e">
        <f t="shared" si="6"/>
        <v>#DIV/0!</v>
      </c>
      <c r="L22" s="30">
        <f t="shared" si="7"/>
        <v>0</v>
      </c>
    </row>
    <row r="23" spans="1:12" ht="15.75" customHeight="1" x14ac:dyDescent="0.25">
      <c r="A23" s="9" t="str">
        <f>IF($A$2+ROW(A23)-2&lt;=end_year,A22+1,"")</f>
        <v/>
      </c>
      <c r="B23" s="8"/>
      <c r="C23" s="29"/>
      <c r="D23" s="29"/>
      <c r="E23" s="29"/>
      <c r="F23" s="29"/>
      <c r="G23" s="29"/>
      <c r="H23" s="29"/>
      <c r="I23" s="30">
        <f t="shared" si="4"/>
        <v>0</v>
      </c>
      <c r="J23" s="30">
        <f t="shared" si="5"/>
        <v>0</v>
      </c>
      <c r="K23" s="30" t="e">
        <f t="shared" si="6"/>
        <v>#DIV/0!</v>
      </c>
      <c r="L23" s="30">
        <f t="shared" si="7"/>
        <v>0</v>
      </c>
    </row>
    <row r="24" spans="1:12" ht="15.75" customHeight="1" x14ac:dyDescent="0.25">
      <c r="A24" s="9" t="str">
        <f>IF($A$2+ROW(A24)-2&lt;=end_year,A23+1,"")</f>
        <v/>
      </c>
      <c r="B24" s="8"/>
      <c r="C24" s="29"/>
      <c r="D24" s="29"/>
      <c r="E24" s="29"/>
      <c r="F24" s="29"/>
      <c r="G24" s="29"/>
      <c r="H24" s="29"/>
      <c r="I24" s="30">
        <f t="shared" si="4"/>
        <v>0</v>
      </c>
      <c r="J24" s="30">
        <f t="shared" si="5"/>
        <v>0</v>
      </c>
      <c r="K24" s="30" t="e">
        <f t="shared" si="6"/>
        <v>#DIV/0!</v>
      </c>
      <c r="L24" s="30">
        <f t="shared" si="7"/>
        <v>0</v>
      </c>
    </row>
    <row r="25" spans="1:12" ht="15.75" customHeight="1" x14ac:dyDescent="0.25">
      <c r="A25" s="9" t="str">
        <f>IF($A$2+ROW(A25)-2&lt;=end_year,A24+1,"")</f>
        <v/>
      </c>
      <c r="B25" s="8"/>
      <c r="C25" s="29"/>
      <c r="D25" s="29"/>
      <c r="E25" s="29"/>
      <c r="F25" s="29"/>
      <c r="G25" s="29"/>
      <c r="H25" s="29"/>
      <c r="I25" s="30">
        <f t="shared" si="4"/>
        <v>0</v>
      </c>
      <c r="J25" s="30">
        <f t="shared" si="5"/>
        <v>0</v>
      </c>
      <c r="K25" s="30" t="e">
        <f t="shared" si="6"/>
        <v>#DIV/0!</v>
      </c>
      <c r="L25" s="30">
        <f t="shared" si="7"/>
        <v>0</v>
      </c>
    </row>
    <row r="26" spans="1:12" ht="15.75" customHeight="1" x14ac:dyDescent="0.25">
      <c r="A26" s="9" t="str">
        <f>IF($A$2+ROW(A26)-2&lt;=end_year,A25+1,"")</f>
        <v/>
      </c>
      <c r="B26" s="8"/>
      <c r="C26" s="29"/>
      <c r="D26" s="29"/>
      <c r="E26" s="29"/>
      <c r="F26" s="29"/>
      <c r="G26" s="29"/>
      <c r="H26" s="29"/>
      <c r="I26" s="30">
        <f t="shared" si="4"/>
        <v>0</v>
      </c>
      <c r="J26" s="30">
        <f t="shared" si="5"/>
        <v>0</v>
      </c>
      <c r="K26" s="30" t="e">
        <f t="shared" si="6"/>
        <v>#DIV/0!</v>
      </c>
      <c r="L26" s="30">
        <f t="shared" si="7"/>
        <v>0</v>
      </c>
    </row>
    <row r="27" spans="1:12" ht="15.75" customHeight="1" x14ac:dyDescent="0.25">
      <c r="A27" s="9" t="str">
        <f>IF($A$2+ROW(A27)-2&lt;=end_year,A26+1,"")</f>
        <v/>
      </c>
      <c r="B27" s="8"/>
      <c r="C27" s="29"/>
      <c r="D27" s="29"/>
      <c r="E27" s="29"/>
      <c r="F27" s="29"/>
      <c r="G27" s="29"/>
      <c r="H27" s="29"/>
      <c r="I27" s="30">
        <f t="shared" si="4"/>
        <v>0</v>
      </c>
      <c r="J27" s="30">
        <f t="shared" si="5"/>
        <v>0</v>
      </c>
      <c r="K27" s="30" t="e">
        <f t="shared" si="6"/>
        <v>#DIV/0!</v>
      </c>
      <c r="L27" s="30">
        <f t="shared" si="7"/>
        <v>0</v>
      </c>
    </row>
    <row r="28" spans="1:12" ht="15.75" customHeight="1" x14ac:dyDescent="0.25">
      <c r="A28" s="9" t="str">
        <f>IF($A$2+ROW(A28)-2&lt;=end_year,A27+1,"")</f>
        <v/>
      </c>
      <c r="B28" s="8"/>
      <c r="C28" s="29"/>
      <c r="D28" s="29"/>
      <c r="E28" s="29"/>
      <c r="F28" s="29"/>
      <c r="G28" s="29"/>
      <c r="H28" s="29"/>
      <c r="I28" s="30">
        <f t="shared" si="4"/>
        <v>0</v>
      </c>
      <c r="J28" s="30">
        <f t="shared" si="5"/>
        <v>0</v>
      </c>
      <c r="K28" s="30" t="e">
        <f t="shared" si="6"/>
        <v>#DIV/0!</v>
      </c>
      <c r="L28" s="30">
        <f t="shared" si="7"/>
        <v>0</v>
      </c>
    </row>
    <row r="29" spans="1:12" ht="15.75" customHeight="1" x14ac:dyDescent="0.25">
      <c r="A29" s="9" t="str">
        <f>IF($A$2+ROW(A29)-2&lt;=end_year,A28+1,"")</f>
        <v/>
      </c>
      <c r="B29" s="8"/>
      <c r="C29" s="29"/>
      <c r="D29" s="29"/>
      <c r="E29" s="29"/>
      <c r="F29" s="29"/>
      <c r="G29" s="29"/>
      <c r="H29" s="29"/>
      <c r="I29" s="30">
        <f t="shared" si="4"/>
        <v>0</v>
      </c>
      <c r="J29" s="30">
        <f t="shared" si="5"/>
        <v>0</v>
      </c>
      <c r="K29" s="30" t="e">
        <f t="shared" si="6"/>
        <v>#DIV/0!</v>
      </c>
      <c r="L29" s="30">
        <f t="shared" si="7"/>
        <v>0</v>
      </c>
    </row>
    <row r="30" spans="1:12" ht="15.75" customHeight="1" x14ac:dyDescent="0.25">
      <c r="A30" s="9" t="str">
        <f>IF($A$2+ROW(A30)-2&lt;=end_year,A29+1,"")</f>
        <v/>
      </c>
      <c r="B30" s="8"/>
      <c r="C30" s="29"/>
      <c r="D30" s="29"/>
      <c r="E30" s="29"/>
      <c r="F30" s="29"/>
      <c r="G30" s="29"/>
      <c r="H30" s="29"/>
      <c r="I30" s="30">
        <f t="shared" si="4"/>
        <v>0</v>
      </c>
      <c r="J30" s="30">
        <f t="shared" si="5"/>
        <v>0</v>
      </c>
      <c r="K30" s="30" t="e">
        <f t="shared" si="6"/>
        <v>#DIV/0!</v>
      </c>
      <c r="L30" s="30">
        <f t="shared" si="7"/>
        <v>0</v>
      </c>
    </row>
    <row r="31" spans="1:12" ht="15.75" customHeight="1" x14ac:dyDescent="0.25">
      <c r="A31" s="9" t="str">
        <f>IF($A$2+ROW(A31)-2&lt;=end_year,A30+1,"")</f>
        <v/>
      </c>
      <c r="B31" s="8"/>
      <c r="C31" s="29"/>
      <c r="D31" s="29"/>
      <c r="E31" s="29"/>
      <c r="F31" s="29"/>
      <c r="G31" s="29"/>
      <c r="H31" s="29"/>
      <c r="I31" s="30">
        <f t="shared" si="4"/>
        <v>0</v>
      </c>
      <c r="J31" s="30">
        <f t="shared" si="5"/>
        <v>0</v>
      </c>
      <c r="K31" s="30" t="e">
        <f t="shared" si="6"/>
        <v>#DIV/0!</v>
      </c>
      <c r="L31" s="30">
        <f t="shared" si="7"/>
        <v>0</v>
      </c>
    </row>
    <row r="32" spans="1:12" ht="15.75" customHeight="1" x14ac:dyDescent="0.25">
      <c r="A32" s="9" t="str">
        <f>IF($A$2+ROW(A32)-2&lt;=end_year,A31+1,"")</f>
        <v/>
      </c>
      <c r="B32" s="8"/>
      <c r="C32" s="29"/>
      <c r="D32" s="29"/>
      <c r="E32" s="29"/>
      <c r="F32" s="29"/>
      <c r="G32" s="29"/>
      <c r="H32" s="29"/>
      <c r="I32" s="30">
        <f t="shared" si="4"/>
        <v>0</v>
      </c>
      <c r="J32" s="30">
        <f t="shared" si="5"/>
        <v>0</v>
      </c>
      <c r="K32" s="30" t="e">
        <f t="shared" si="6"/>
        <v>#DIV/0!</v>
      </c>
      <c r="L32" s="30">
        <f t="shared" si="7"/>
        <v>0</v>
      </c>
    </row>
    <row r="33" spans="1:12" ht="15.75" customHeight="1" x14ac:dyDescent="0.25">
      <c r="A33" s="9" t="str">
        <f>IF($A$2+ROW(A33)-2&lt;=end_year,A32+1,"")</f>
        <v/>
      </c>
      <c r="B33" s="8"/>
      <c r="C33" s="29"/>
      <c r="D33" s="29"/>
      <c r="E33" s="29"/>
      <c r="F33" s="29"/>
      <c r="G33" s="29"/>
      <c r="H33" s="29"/>
      <c r="I33" s="30">
        <f t="shared" si="4"/>
        <v>0</v>
      </c>
      <c r="J33" s="30">
        <f t="shared" si="5"/>
        <v>0</v>
      </c>
      <c r="K33" s="30" t="e">
        <f t="shared" si="6"/>
        <v>#DIV/0!</v>
      </c>
      <c r="L33" s="30">
        <f t="shared" si="7"/>
        <v>0</v>
      </c>
    </row>
    <row r="34" spans="1:12" ht="15.75" customHeight="1" x14ac:dyDescent="0.25">
      <c r="A34" s="9" t="str">
        <f>IF($A$2+ROW(A34)-2&lt;=end_year,A33+1,"")</f>
        <v/>
      </c>
      <c r="B34" s="8"/>
      <c r="C34" s="29"/>
      <c r="D34" s="29"/>
      <c r="E34" s="29"/>
      <c r="F34" s="29"/>
      <c r="G34" s="29"/>
      <c r="H34" s="29"/>
      <c r="I34" s="30">
        <f t="shared" si="4"/>
        <v>0</v>
      </c>
      <c r="J34" s="30">
        <f t="shared" si="5"/>
        <v>0</v>
      </c>
      <c r="K34" s="30" t="e">
        <f t="shared" si="6"/>
        <v>#DIV/0!</v>
      </c>
      <c r="L34" s="30">
        <f t="shared" si="7"/>
        <v>0</v>
      </c>
    </row>
    <row r="35" spans="1:12" ht="15.75" customHeight="1" x14ac:dyDescent="0.25">
      <c r="A35" s="9" t="str">
        <f>IF($A$2+ROW(A35)-2&lt;=end_year,A34+1,"")</f>
        <v/>
      </c>
      <c r="B35" s="8"/>
      <c r="C35" s="29"/>
      <c r="D35" s="29"/>
      <c r="E35" s="29"/>
      <c r="F35" s="29"/>
      <c r="G35" s="29"/>
      <c r="H35" s="29"/>
      <c r="I35" s="30">
        <f t="shared" si="4"/>
        <v>0</v>
      </c>
      <c r="J35" s="30">
        <f t="shared" si="5"/>
        <v>0</v>
      </c>
      <c r="K35" s="30" t="e">
        <f t="shared" si="6"/>
        <v>#DIV/0!</v>
      </c>
      <c r="L35" s="30">
        <f t="shared" si="7"/>
        <v>0</v>
      </c>
    </row>
    <row r="36" spans="1:12" ht="15.75" customHeight="1" x14ac:dyDescent="0.25">
      <c r="A36" s="9" t="str">
        <f>IF($A$2+ROW(A36)-2&lt;=end_year,A35+1,"")</f>
        <v/>
      </c>
      <c r="B36" s="8"/>
      <c r="C36" s="29"/>
      <c r="D36" s="29"/>
      <c r="E36" s="29"/>
      <c r="F36" s="29"/>
      <c r="G36" s="29"/>
      <c r="H36" s="29"/>
      <c r="I36" s="30">
        <f t="shared" si="4"/>
        <v>0</v>
      </c>
      <c r="J36" s="30">
        <f t="shared" si="5"/>
        <v>0</v>
      </c>
      <c r="K36" s="30" t="e">
        <f t="shared" si="6"/>
        <v>#DIV/0!</v>
      </c>
      <c r="L36" s="30">
        <f t="shared" si="7"/>
        <v>0</v>
      </c>
    </row>
    <row r="37" spans="1:12" ht="15.75" customHeight="1" x14ac:dyDescent="0.25">
      <c r="A37" s="9" t="str">
        <f>IF($A$2+ROW(A37)-2&lt;=end_year,A36+1,"")</f>
        <v/>
      </c>
      <c r="B37" s="8"/>
      <c r="C37" s="29"/>
      <c r="D37" s="29"/>
      <c r="E37" s="29"/>
      <c r="F37" s="29"/>
      <c r="G37" s="29"/>
      <c r="H37" s="29"/>
      <c r="I37" s="30">
        <f t="shared" si="4"/>
        <v>0</v>
      </c>
      <c r="J37" s="30">
        <f t="shared" si="5"/>
        <v>0</v>
      </c>
      <c r="K37" s="30" t="e">
        <f t="shared" si="6"/>
        <v>#DIV/0!</v>
      </c>
      <c r="L37" s="30">
        <f t="shared" si="7"/>
        <v>0</v>
      </c>
    </row>
    <row r="38" spans="1:12" ht="15.75" customHeight="1" x14ac:dyDescent="0.25">
      <c r="A38" s="9" t="str">
        <f>IF($A$2+ROW(A38)-2&lt;=end_year,A37+1,"")</f>
        <v/>
      </c>
      <c r="B38" s="8"/>
      <c r="C38" s="29"/>
      <c r="D38" s="29"/>
      <c r="E38" s="29"/>
      <c r="F38" s="29"/>
      <c r="G38" s="29"/>
      <c r="H38" s="29"/>
      <c r="I38" s="30">
        <f t="shared" si="4"/>
        <v>0</v>
      </c>
      <c r="J38" s="30">
        <f t="shared" si="5"/>
        <v>0</v>
      </c>
      <c r="K38" s="30" t="e">
        <f t="shared" si="6"/>
        <v>#DIV/0!</v>
      </c>
      <c r="L38" s="30">
        <f t="shared" si="7"/>
        <v>0</v>
      </c>
    </row>
    <row r="39" spans="1:12" ht="15.75" customHeight="1" x14ac:dyDescent="0.25">
      <c r="A39" s="9" t="str">
        <f>IF($A$2+ROW(A39)-2&lt;=end_year,A38+1,"")</f>
        <v/>
      </c>
      <c r="B39" s="8"/>
      <c r="C39" s="29"/>
      <c r="D39" s="29"/>
      <c r="E39" s="29"/>
      <c r="F39" s="29"/>
      <c r="G39" s="29"/>
      <c r="H39" s="29"/>
      <c r="I39" s="30">
        <f t="shared" si="4"/>
        <v>0</v>
      </c>
      <c r="J39" s="30">
        <f t="shared" si="5"/>
        <v>0</v>
      </c>
      <c r="K39" s="30" t="e">
        <f t="shared" si="6"/>
        <v>#DIV/0!</v>
      </c>
      <c r="L39" s="30">
        <f t="shared" si="7"/>
        <v>0</v>
      </c>
    </row>
    <row r="40" spans="1:12" ht="15.75" customHeight="1" x14ac:dyDescent="0.25">
      <c r="A40" s="9" t="str">
        <f>IF($A$2+ROW(A40)-2&lt;=end_year,A39+1,"")</f>
        <v/>
      </c>
      <c r="B40" s="8"/>
      <c r="C40" s="29"/>
      <c r="D40" s="29"/>
      <c r="E40" s="29"/>
      <c r="F40" s="29"/>
      <c r="G40" s="29"/>
      <c r="H40" s="29"/>
      <c r="I40" s="30">
        <f t="shared" si="4"/>
        <v>0</v>
      </c>
      <c r="J40" s="30">
        <f t="shared" si="5"/>
        <v>0</v>
      </c>
      <c r="K40" s="30" t="e">
        <f t="shared" si="6"/>
        <v>#DIV/0!</v>
      </c>
      <c r="L40" s="30">
        <f t="shared" si="7"/>
        <v>0</v>
      </c>
    </row>
  </sheetData>
  <conditionalFormatting sqref="B2:J2 L2">
    <cfRule type="expression" dxfId="3" priority="9">
      <formula>$A2=""</formula>
    </cfRule>
  </conditionalFormatting>
  <conditionalFormatting sqref="B3:J40 L3:L40">
    <cfRule type="expression" dxfId="2" priority="3">
      <formula>$A3=""</formula>
    </cfRule>
  </conditionalFormatting>
  <conditionalFormatting sqref="K2">
    <cfRule type="expression" dxfId="1" priority="2">
      <formula>$A2=""</formula>
    </cfRule>
  </conditionalFormatting>
  <conditionalFormatting sqref="K3:K40">
    <cfRule type="expression" dxfId="0" priority="1">
      <formula>$A3=""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27"/>
  <sheetViews>
    <sheetView zoomScale="115" zoomScaleNormal="115" workbookViewId="0">
      <selection activeCell="A14" sqref="A14"/>
    </sheetView>
  </sheetViews>
  <sheetFormatPr defaultColWidth="14.453125" defaultRowHeight="15.75" customHeight="1" x14ac:dyDescent="0.25"/>
  <cols>
    <col min="1" max="1" width="31.36328125" customWidth="1"/>
    <col min="2" max="7" width="13" customWidth="1"/>
  </cols>
  <sheetData>
    <row r="1" spans="1:7" ht="27.75" customHeight="1" x14ac:dyDescent="0.3">
      <c r="A1" s="11" t="s">
        <v>128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25">
      <c r="A2" s="32" t="s">
        <v>74</v>
      </c>
      <c r="B2" s="33">
        <v>7.0000000000000001E-3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25">
      <c r="A3" s="32" t="s">
        <v>7</v>
      </c>
      <c r="B3" s="33">
        <v>0.19900000000000001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25">
      <c r="A4" s="32" t="s">
        <v>8</v>
      </c>
      <c r="B4" s="33">
        <v>5.8999999999999997E-2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25">
      <c r="A5" s="32" t="s">
        <v>10</v>
      </c>
      <c r="B5" s="33">
        <v>0.22900000000000001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25">
      <c r="A6" s="32" t="s">
        <v>13</v>
      </c>
      <c r="B6" s="33">
        <v>0.29699999999999999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25">
      <c r="A7" s="32" t="s">
        <v>14</v>
      </c>
      <c r="B7" s="33">
        <v>6.0000000000000001E-3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25">
      <c r="A8" s="32" t="s">
        <v>27</v>
      </c>
      <c r="B8" s="33">
        <v>0.127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25">
      <c r="A9" s="32" t="s">
        <v>15</v>
      </c>
      <c r="B9" s="33">
        <v>7.5999999999999998E-2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25">
      <c r="A10" s="32" t="s">
        <v>72</v>
      </c>
      <c r="B10" s="34">
        <v>0</v>
      </c>
      <c r="C10" s="33">
        <f>14.81% * 0.2</f>
        <v>2.9620000000000004E-2</v>
      </c>
      <c r="D10" s="33">
        <v>0.14810000000000001</v>
      </c>
      <c r="E10" s="33">
        <v>0.14810000000000001</v>
      </c>
      <c r="F10" s="33">
        <v>0.14810000000000001</v>
      </c>
      <c r="G10" s="34">
        <v>0</v>
      </c>
    </row>
    <row r="11" spans="1:7" ht="15.75" customHeight="1" x14ac:dyDescent="0.25">
      <c r="A11" s="32" t="s">
        <v>16</v>
      </c>
      <c r="B11" s="34">
        <v>0</v>
      </c>
      <c r="C11" s="33">
        <v>0.2883</v>
      </c>
      <c r="D11" s="33">
        <v>0.2883</v>
      </c>
      <c r="E11" s="33">
        <v>0.2883</v>
      </c>
      <c r="F11" s="33">
        <v>0.2883</v>
      </c>
      <c r="G11" s="34">
        <v>0</v>
      </c>
    </row>
    <row r="12" spans="1:7" ht="15.75" customHeight="1" x14ac:dyDescent="0.25">
      <c r="A12" s="32" t="s">
        <v>17</v>
      </c>
      <c r="B12" s="34">
        <v>0</v>
      </c>
      <c r="C12" s="33">
        <v>4.1000000000000002E-2</v>
      </c>
      <c r="D12" s="33">
        <v>4.1000000000000002E-2</v>
      </c>
      <c r="E12" s="33">
        <v>4.1000000000000002E-2</v>
      </c>
      <c r="F12" s="33">
        <v>4.1000000000000002E-2</v>
      </c>
      <c r="G12" s="34">
        <v>0</v>
      </c>
    </row>
    <row r="13" spans="1:7" ht="15.75" customHeight="1" x14ac:dyDescent="0.25">
      <c r="A13" s="32" t="s">
        <v>18</v>
      </c>
      <c r="B13" s="34">
        <v>0</v>
      </c>
      <c r="C13" s="33">
        <v>5.0099999999999999E-2</v>
      </c>
      <c r="D13" s="33">
        <v>5.0099999999999999E-2</v>
      </c>
      <c r="E13" s="33">
        <v>5.0099999999999999E-2</v>
      </c>
      <c r="F13" s="33">
        <v>5.0099999999999999E-2</v>
      </c>
      <c r="G13" s="34">
        <v>0</v>
      </c>
    </row>
    <row r="14" spans="1:7" ht="15.75" customHeight="1" x14ac:dyDescent="0.25">
      <c r="A14" s="32" t="s">
        <v>19</v>
      </c>
      <c r="B14" s="34">
        <v>0</v>
      </c>
      <c r="C14" s="33">
        <v>6.0000000000000001E-3</v>
      </c>
      <c r="D14" s="33">
        <v>6.0000000000000001E-3</v>
      </c>
      <c r="E14" s="33">
        <v>6.0000000000000001E-3</v>
      </c>
      <c r="F14" s="33">
        <v>6.0000000000000001E-3</v>
      </c>
      <c r="G14" s="34">
        <v>0</v>
      </c>
    </row>
    <row r="15" spans="1:7" ht="15.75" customHeight="1" x14ac:dyDescent="0.25">
      <c r="A15" s="32" t="s">
        <v>20</v>
      </c>
      <c r="B15" s="34">
        <v>0</v>
      </c>
      <c r="C15" s="33">
        <v>0.01</v>
      </c>
      <c r="D15" s="33">
        <v>0.01</v>
      </c>
      <c r="E15" s="33">
        <v>0.01</v>
      </c>
      <c r="F15" s="33">
        <v>0.01</v>
      </c>
      <c r="G15" s="34">
        <v>0</v>
      </c>
    </row>
    <row r="16" spans="1:7" ht="15.75" customHeight="1" x14ac:dyDescent="0.25">
      <c r="A16" s="32" t="s">
        <v>21</v>
      </c>
      <c r="B16" s="34">
        <v>0</v>
      </c>
      <c r="C16" s="33">
        <v>0</v>
      </c>
      <c r="D16" s="33">
        <v>0</v>
      </c>
      <c r="E16" s="33">
        <v>0</v>
      </c>
      <c r="F16" s="33">
        <v>0</v>
      </c>
      <c r="G16" s="34">
        <v>0</v>
      </c>
    </row>
    <row r="17" spans="1:7" ht="15.75" customHeight="1" x14ac:dyDescent="0.25">
      <c r="A17" s="32" t="s">
        <v>22</v>
      </c>
      <c r="B17" s="34">
        <v>0</v>
      </c>
      <c r="C17" s="33">
        <v>0.14510000000000001</v>
      </c>
      <c r="D17" s="33">
        <v>0.14510000000000001</v>
      </c>
      <c r="E17" s="33">
        <v>0.14510000000000001</v>
      </c>
      <c r="F17" s="33">
        <v>0.14510000000000001</v>
      </c>
      <c r="G17" s="34">
        <v>0</v>
      </c>
    </row>
    <row r="18" spans="1:7" ht="15.75" customHeight="1" x14ac:dyDescent="0.25">
      <c r="A18" s="32" t="s">
        <v>23</v>
      </c>
      <c r="B18" s="34">
        <v>0</v>
      </c>
      <c r="C18" s="33">
        <v>0.31130000000000002</v>
      </c>
      <c r="D18" s="33">
        <v>0.31130000000000002</v>
      </c>
      <c r="E18" s="33">
        <v>0.31130000000000002</v>
      </c>
      <c r="F18" s="33">
        <v>0.31130000000000002</v>
      </c>
      <c r="G18" s="34">
        <v>0</v>
      </c>
    </row>
    <row r="19" spans="1:7" ht="15.75" customHeight="1" x14ac:dyDescent="0.25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>
        <v>2.5899999999999999E-2</v>
      </c>
    </row>
    <row r="20" spans="1:7" ht="15.75" customHeight="1" x14ac:dyDescent="0.25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>
        <v>7.1000000000000004E-3</v>
      </c>
    </row>
    <row r="21" spans="1:7" ht="15.75" customHeight="1" x14ac:dyDescent="0.25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>
        <v>0.25590000000000002</v>
      </c>
    </row>
    <row r="22" spans="1:7" ht="15.75" customHeight="1" x14ac:dyDescent="0.25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>
        <v>0.1464</v>
      </c>
    </row>
    <row r="23" spans="1:7" ht="15.75" customHeight="1" x14ac:dyDescent="0.25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>
        <v>1.7600000000000001E-2</v>
      </c>
    </row>
    <row r="24" spans="1:7" ht="15.75" customHeight="1" x14ac:dyDescent="0.25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>
        <v>1.8100000000000002E-2</v>
      </c>
    </row>
    <row r="25" spans="1:7" ht="15.75" customHeight="1" x14ac:dyDescent="0.25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>
        <v>1.14E-2</v>
      </c>
    </row>
    <row r="26" spans="1:7" ht="15.75" customHeight="1" x14ac:dyDescent="0.25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>
        <v>0.15129999999999999</v>
      </c>
    </row>
    <row r="27" spans="1:7" ht="15.75" customHeight="1" x14ac:dyDescent="0.25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>
        <v>0.36630000000000001</v>
      </c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G5" sqref="G5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38" t="s">
        <v>153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25">
      <c r="A2" s="6" t="s">
        <v>131</v>
      </c>
      <c r="B2" s="14" t="s">
        <v>133</v>
      </c>
      <c r="C2" s="49">
        <f>1-_xlfn.NORM.DIST(_xlfn.NORM.INV(SUM(C4:C5), 0, 1) + 1, 0, 1, TRUE)</f>
        <v>0.53200836191885958</v>
      </c>
      <c r="D2" s="49">
        <f t="shared" ref="D2:G2" si="0">1-_xlfn.NORM.DIST(_xlfn.NORM.INV(SUM(D4:D5), 0, 1) + 1, 0, 1, TRUE)</f>
        <v>0.53200836191885958</v>
      </c>
      <c r="E2" s="49">
        <f t="shared" si="0"/>
        <v>0.44274864978114037</v>
      </c>
      <c r="F2" s="49">
        <f t="shared" si="0"/>
        <v>0.24285617786005109</v>
      </c>
      <c r="G2" s="49">
        <f t="shared" si="0"/>
        <v>0.2168920625348294</v>
      </c>
    </row>
    <row r="3" spans="1:15" ht="15.75" customHeight="1" x14ac:dyDescent="0.25">
      <c r="A3" s="5"/>
      <c r="B3" s="14" t="s">
        <v>134</v>
      </c>
      <c r="C3" s="49">
        <f>_xlfn.NORM.DIST(_xlfn.NORM.INV(SUM(C4:C5), 0, 1) + 1, 0, 1, TRUE) - SUM(C4:C5)</f>
        <v>0.3279916380811404</v>
      </c>
      <c r="D3" s="49">
        <f t="shared" ref="D3:G3" si="1">_xlfn.NORM.DIST(_xlfn.NORM.INV(SUM(D4:D5), 0, 1) + 1, 0, 1, TRUE) - SUM(D4:D5)</f>
        <v>0.3279916380811404</v>
      </c>
      <c r="E3" s="49">
        <f t="shared" si="1"/>
        <v>0.36125135021885962</v>
      </c>
      <c r="F3" s="49">
        <f t="shared" si="1"/>
        <v>0.3761438221399489</v>
      </c>
      <c r="G3" s="49">
        <f t="shared" si="1"/>
        <v>0.36910793746517057</v>
      </c>
    </row>
    <row r="4" spans="1:15" ht="15.75" customHeight="1" x14ac:dyDescent="0.25">
      <c r="A4" s="5"/>
      <c r="B4" s="14" t="s">
        <v>132</v>
      </c>
      <c r="C4" s="39">
        <v>0.10199999999999999</v>
      </c>
      <c r="D4" s="39">
        <v>0.10199999999999999</v>
      </c>
      <c r="E4" s="39">
        <v>0.14699999999999999</v>
      </c>
      <c r="F4" s="39">
        <v>0.247</v>
      </c>
      <c r="G4" s="39">
        <v>0.28100000000000003</v>
      </c>
    </row>
    <row r="5" spans="1:15" ht="15.75" customHeight="1" x14ac:dyDescent="0.25">
      <c r="A5" s="5"/>
      <c r="B5" s="14" t="s">
        <v>135</v>
      </c>
      <c r="C5" s="39">
        <v>3.7999999999999999E-2</v>
      </c>
      <c r="D5" s="39">
        <v>3.7999999999999999E-2</v>
      </c>
      <c r="E5" s="39">
        <v>4.9000000000000002E-2</v>
      </c>
      <c r="F5" s="39">
        <v>0.13400000000000001</v>
      </c>
      <c r="G5" s="39">
        <v>0.13300000000000001</v>
      </c>
    </row>
    <row r="6" spans="1:15" ht="15.75" customHeight="1" x14ac:dyDescent="0.25">
      <c r="B6" s="17"/>
      <c r="C6" s="40"/>
      <c r="D6" s="40"/>
      <c r="E6" s="40"/>
      <c r="F6" s="40"/>
      <c r="G6" s="40"/>
    </row>
    <row r="7" spans="1:15" ht="15.75" customHeight="1" x14ac:dyDescent="0.25">
      <c r="B7" s="17"/>
      <c r="C7" s="40"/>
      <c r="D7" s="40"/>
      <c r="E7" s="40"/>
      <c r="F7" s="40"/>
      <c r="G7" s="40"/>
    </row>
    <row r="8" spans="1:15" ht="15.75" customHeight="1" x14ac:dyDescent="0.25">
      <c r="A8" s="3" t="s">
        <v>130</v>
      </c>
      <c r="B8" s="9" t="s">
        <v>136</v>
      </c>
      <c r="C8" s="49">
        <f>1-_xlfn.NORM.DIST(_xlfn.NORM.INV(SUM(C10:C11), 0, 1) + 1, 0, 1, TRUE)</f>
        <v>0.43848891822683433</v>
      </c>
      <c r="D8" s="49">
        <f t="shared" ref="D8:G8" si="2">1-_xlfn.NORM.DIST(_xlfn.NORM.INV(SUM(D10:D11), 0, 1) + 1, 0, 1, TRUE)</f>
        <v>0.43848891822683433</v>
      </c>
      <c r="E8" s="49">
        <f t="shared" si="2"/>
        <v>0.46325746477389407</v>
      </c>
      <c r="F8" s="49">
        <f t="shared" si="2"/>
        <v>0.51282536329943151</v>
      </c>
      <c r="G8" s="49">
        <f t="shared" si="2"/>
        <v>0.55784394006702964</v>
      </c>
    </row>
    <row r="9" spans="1:15" ht="15.75" customHeight="1" x14ac:dyDescent="0.25">
      <c r="B9" s="9" t="s">
        <v>137</v>
      </c>
      <c r="C9" s="49">
        <f>_xlfn.NORM.DIST(_xlfn.NORM.INV(SUM(C10:C11), 0, 1) + 1, 0, 1, TRUE) - SUM(C10:C11)</f>
        <v>0.36251108177316566</v>
      </c>
      <c r="D9" s="49">
        <f t="shared" ref="D9:G9" si="3">_xlfn.NORM.DIST(_xlfn.NORM.INV(SUM(D10:D11), 0, 1) + 1, 0, 1, TRUE) - SUM(D10:D11)</f>
        <v>0.36251108177316566</v>
      </c>
      <c r="E9" s="49">
        <f t="shared" si="3"/>
        <v>0.35474253522610594</v>
      </c>
      <c r="F9" s="49">
        <f t="shared" si="3"/>
        <v>0.33617463670056846</v>
      </c>
      <c r="G9" s="49">
        <f t="shared" si="3"/>
        <v>0.31615605993297041</v>
      </c>
    </row>
    <row r="10" spans="1:15" ht="15.75" customHeight="1" x14ac:dyDescent="0.25">
      <c r="B10" s="9" t="s">
        <v>138</v>
      </c>
      <c r="C10" s="39">
        <v>0.15</v>
      </c>
      <c r="D10" s="39">
        <v>0.15</v>
      </c>
      <c r="E10" s="39">
        <v>0.129</v>
      </c>
      <c r="F10" s="39">
        <v>0.11</v>
      </c>
      <c r="G10" s="39">
        <v>0.105</v>
      </c>
    </row>
    <row r="11" spans="1:15" ht="15.75" customHeight="1" x14ac:dyDescent="0.25">
      <c r="B11" s="9" t="s">
        <v>139</v>
      </c>
      <c r="C11" s="39">
        <v>4.9000000000000002E-2</v>
      </c>
      <c r="D11" s="39">
        <v>4.9000000000000002E-2</v>
      </c>
      <c r="E11" s="39">
        <v>5.2999999999999999E-2</v>
      </c>
      <c r="F11" s="39">
        <v>4.0999999999999995E-2</v>
      </c>
      <c r="G11" s="39">
        <v>2.1000000000000001E-2</v>
      </c>
    </row>
    <row r="12" spans="1:15" ht="15.75" customHeight="1" x14ac:dyDescent="0.2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25">
      <c r="A13" s="15" t="s">
        <v>71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25">
      <c r="B14" s="19" t="s">
        <v>151</v>
      </c>
      <c r="C14" s="50">
        <v>0.1</v>
      </c>
      <c r="D14" s="50">
        <v>0.1</v>
      </c>
      <c r="E14" s="50">
        <v>0.74</v>
      </c>
      <c r="F14" s="50">
        <v>0.55000000000000004</v>
      </c>
      <c r="G14" s="50">
        <v>0.42699999999999999</v>
      </c>
      <c r="H14" s="51">
        <v>0.48149999999999998</v>
      </c>
      <c r="I14" s="51">
        <v>0.48149999999999998</v>
      </c>
      <c r="J14" s="51">
        <v>0.48149999999999998</v>
      </c>
      <c r="K14" s="51">
        <v>0.48149999999999998</v>
      </c>
      <c r="L14" s="51">
        <v>0.43469999999999998</v>
      </c>
      <c r="M14" s="51">
        <v>0.43469999999999998</v>
      </c>
      <c r="N14" s="51">
        <v>0.43469999999999998</v>
      </c>
      <c r="O14" s="51">
        <v>0.43469999999999998</v>
      </c>
    </row>
    <row r="15" spans="1:15" ht="15.75" customHeight="1" x14ac:dyDescent="0.25">
      <c r="B15" s="19" t="s">
        <v>69</v>
      </c>
      <c r="C15" s="49">
        <f t="shared" ref="C15:O15" si="4">iron_deficiency_anaemia*C14</f>
        <v>4.2000000000000003E-2</v>
      </c>
      <c r="D15" s="49">
        <f t="shared" si="4"/>
        <v>4.2000000000000003E-2</v>
      </c>
      <c r="E15" s="49">
        <f t="shared" si="4"/>
        <v>0.31079999999999997</v>
      </c>
      <c r="F15" s="49">
        <f t="shared" si="4"/>
        <v>0.23100000000000001</v>
      </c>
      <c r="G15" s="49">
        <f t="shared" si="4"/>
        <v>0.17934</v>
      </c>
      <c r="H15" s="49">
        <f t="shared" si="4"/>
        <v>0.20222999999999999</v>
      </c>
      <c r="I15" s="49">
        <f t="shared" si="4"/>
        <v>0.20222999999999999</v>
      </c>
      <c r="J15" s="49">
        <f t="shared" si="4"/>
        <v>0.20222999999999999</v>
      </c>
      <c r="K15" s="49">
        <f t="shared" si="4"/>
        <v>0.20222999999999999</v>
      </c>
      <c r="L15" s="49">
        <f t="shared" si="4"/>
        <v>0.18257399999999999</v>
      </c>
      <c r="M15" s="49">
        <f t="shared" si="4"/>
        <v>0.18257399999999999</v>
      </c>
      <c r="N15" s="49">
        <f t="shared" si="4"/>
        <v>0.18257399999999999</v>
      </c>
      <c r="O15" s="49">
        <f t="shared" si="4"/>
        <v>0.18257399999999999</v>
      </c>
    </row>
    <row r="16" spans="1:15" ht="15.75" customHeight="1" x14ac:dyDescent="0.25">
      <c r="C16" s="10"/>
      <c r="D16" s="10"/>
      <c r="E16" s="10"/>
      <c r="F16" s="10"/>
      <c r="G16" s="10"/>
    </row>
    <row r="17" spans="3:7" ht="15.75" customHeight="1" x14ac:dyDescent="0.25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B5" sqref="B5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38" t="s">
        <v>129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25">
      <c r="A2" s="3" t="s">
        <v>24</v>
      </c>
      <c r="B2" s="67" t="s">
        <v>189</v>
      </c>
      <c r="C2" s="39">
        <v>0.80299999999999994</v>
      </c>
      <c r="D2" s="39">
        <v>0.46200000000000002</v>
      </c>
      <c r="E2" s="39">
        <v>3.3000000000000002E-2</v>
      </c>
      <c r="F2" s="39">
        <v>6.9999999999999993E-3</v>
      </c>
      <c r="G2" s="39">
        <v>0</v>
      </c>
    </row>
    <row r="3" spans="1:7" x14ac:dyDescent="0.25">
      <c r="B3" s="67" t="s">
        <v>190</v>
      </c>
      <c r="C3" s="39">
        <v>6.8000000000000005E-2</v>
      </c>
      <c r="D3" s="39">
        <v>0.16300000000000001</v>
      </c>
      <c r="E3" s="39">
        <v>9.4E-2</v>
      </c>
      <c r="F3" s="39">
        <v>4.4999999999999998E-2</v>
      </c>
      <c r="G3" s="39">
        <v>0</v>
      </c>
    </row>
    <row r="4" spans="1:7" x14ac:dyDescent="0.25">
      <c r="B4" s="67" t="s">
        <v>191</v>
      </c>
      <c r="C4" s="39">
        <v>0.107</v>
      </c>
      <c r="D4" s="39">
        <v>0.37</v>
      </c>
      <c r="E4" s="39">
        <v>0.83700000000000008</v>
      </c>
      <c r="F4" s="39">
        <v>0.879</v>
      </c>
      <c r="G4" s="39">
        <v>0</v>
      </c>
    </row>
    <row r="5" spans="1:7" x14ac:dyDescent="0.25">
      <c r="B5" s="67" t="s">
        <v>192</v>
      </c>
      <c r="C5" s="49">
        <f>1-SUM(C2:C4)</f>
        <v>2.200000000000002E-2</v>
      </c>
      <c r="D5" s="49">
        <f t="shared" ref="D5:G5" si="0">1-SUM(D2:D4)</f>
        <v>5.0000000000000044E-3</v>
      </c>
      <c r="E5" s="49">
        <f t="shared" si="0"/>
        <v>3.5999999999999921E-2</v>
      </c>
      <c r="F5" s="49">
        <f t="shared" si="0"/>
        <v>6.899999999999995E-2</v>
      </c>
      <c r="G5" s="49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K14"/>
  <sheetViews>
    <sheetView zoomScale="115" zoomScaleNormal="115" workbookViewId="0">
      <selection activeCell="E11" sqref="E11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161</v>
      </c>
      <c r="B1" s="4" t="s">
        <v>168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162</v>
      </c>
      <c r="B2" s="17" t="s">
        <v>166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25">
      <c r="B3" s="17"/>
    </row>
    <row r="4" spans="1:11" x14ac:dyDescent="0.25">
      <c r="A4" t="s">
        <v>163</v>
      </c>
      <c r="B4" s="17" t="s">
        <v>166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25">
      <c r="B5" s="17"/>
    </row>
    <row r="6" spans="1:11" x14ac:dyDescent="0.25">
      <c r="A6" t="s">
        <v>164</v>
      </c>
      <c r="B6" s="17" t="s">
        <v>166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25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25">
      <c r="B8" s="17" t="s">
        <v>167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25">
      <c r="A10" t="s">
        <v>165</v>
      </c>
      <c r="B10" s="19" t="s">
        <v>170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25">
      <c r="B11" s="53" t="s">
        <v>169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25">
      <c r="A13" s="15" t="s">
        <v>75</v>
      </c>
      <c r="B13" s="53" t="s">
        <v>171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25">
      <c r="B14" s="19" t="s">
        <v>193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C17"/>
  <sheetViews>
    <sheetView workbookViewId="0">
      <selection activeCell="C8" sqref="C8"/>
    </sheetView>
  </sheetViews>
  <sheetFormatPr defaultColWidth="11.453125" defaultRowHeight="12.5" x14ac:dyDescent="0.25"/>
  <cols>
    <col min="1" max="1" width="37.1796875" style="15" customWidth="1"/>
    <col min="2" max="2" width="44.36328125" style="15" customWidth="1"/>
    <col min="3" max="3" width="16.453125" style="15" customWidth="1"/>
    <col min="4" max="16384" width="11.453125" style="15"/>
  </cols>
  <sheetData>
    <row r="1" spans="1:3" s="44" customFormat="1" ht="31.5" customHeight="1" x14ac:dyDescent="0.25">
      <c r="A1" s="42" t="s">
        <v>142</v>
      </c>
      <c r="B1" s="65" t="s">
        <v>187</v>
      </c>
      <c r="C1" s="43" t="s">
        <v>140</v>
      </c>
    </row>
    <row r="2" spans="1:3" ht="14.25" customHeight="1" x14ac:dyDescent="0.3">
      <c r="A2" s="11" t="s">
        <v>141</v>
      </c>
      <c r="B2" s="41" t="s">
        <v>76</v>
      </c>
      <c r="C2" s="45">
        <v>0.15</v>
      </c>
    </row>
    <row r="3" spans="1:3" ht="14.25" customHeight="1" x14ac:dyDescent="0.25">
      <c r="B3" s="41" t="s">
        <v>77</v>
      </c>
      <c r="C3" s="45">
        <v>0.03</v>
      </c>
    </row>
    <row r="4" spans="1:3" ht="14.25" customHeight="1" x14ac:dyDescent="0.25">
      <c r="B4" s="41" t="s">
        <v>78</v>
      </c>
      <c r="C4" s="45">
        <v>0</v>
      </c>
    </row>
    <row r="5" spans="1:3" ht="14.25" customHeight="1" x14ac:dyDescent="0.25">
      <c r="B5" s="41" t="s">
        <v>79</v>
      </c>
      <c r="C5" s="45">
        <v>0.19</v>
      </c>
    </row>
    <row r="6" spans="1:3" ht="14.25" customHeight="1" x14ac:dyDescent="0.25">
      <c r="B6" s="41" t="s">
        <v>80</v>
      </c>
      <c r="C6" s="45">
        <v>0.39</v>
      </c>
    </row>
    <row r="7" spans="1:3" ht="14.25" customHeight="1" x14ac:dyDescent="0.25">
      <c r="B7" s="41" t="s">
        <v>81</v>
      </c>
      <c r="C7" s="45">
        <v>0.19</v>
      </c>
    </row>
    <row r="8" spans="1:3" ht="14.25" customHeight="1" x14ac:dyDescent="0.25">
      <c r="B8" s="41" t="s">
        <v>82</v>
      </c>
      <c r="C8" s="45">
        <v>1E-3</v>
      </c>
    </row>
    <row r="9" spans="1:3" ht="14.25" customHeight="1" x14ac:dyDescent="0.25">
      <c r="B9" s="41" t="s">
        <v>83</v>
      </c>
      <c r="C9" s="45">
        <v>7.0000000000000001E-3</v>
      </c>
    </row>
    <row r="10" spans="1:3" ht="14.25" customHeight="1" x14ac:dyDescent="0.25">
      <c r="B10" s="41" t="s">
        <v>84</v>
      </c>
      <c r="C10" s="45">
        <v>0.04</v>
      </c>
    </row>
    <row r="11" spans="1:3" ht="14.25" customHeight="1" x14ac:dyDescent="0.25">
      <c r="B11" s="48" t="s">
        <v>148</v>
      </c>
      <c r="C11" s="47">
        <f>SUM(C2:C10)</f>
        <v>0.998</v>
      </c>
    </row>
    <row r="12" spans="1:3" ht="14.25" customHeight="1" x14ac:dyDescent="0.25">
      <c r="B12" s="44"/>
      <c r="C12" s="44"/>
    </row>
    <row r="13" spans="1:3" ht="14.25" customHeight="1" x14ac:dyDescent="0.3">
      <c r="A13" s="11" t="s">
        <v>85</v>
      </c>
      <c r="B13" s="41" t="s">
        <v>86</v>
      </c>
      <c r="C13" s="45">
        <v>0.34</v>
      </c>
    </row>
    <row r="14" spans="1:3" ht="14.25" customHeight="1" x14ac:dyDescent="0.25">
      <c r="B14" s="41" t="s">
        <v>87</v>
      </c>
      <c r="C14" s="45">
        <v>0.05</v>
      </c>
    </row>
    <row r="15" spans="1:3" ht="14.25" customHeight="1" x14ac:dyDescent="0.25">
      <c r="B15" s="41" t="s">
        <v>88</v>
      </c>
      <c r="C15" s="45">
        <v>7.0000000000000007E-2</v>
      </c>
    </row>
    <row r="16" spans="1:3" ht="14.25" customHeight="1" x14ac:dyDescent="0.25">
      <c r="B16" s="41" t="s">
        <v>89</v>
      </c>
      <c r="C16" s="45">
        <v>0.54</v>
      </c>
    </row>
    <row r="17" spans="2:3" ht="13" x14ac:dyDescent="0.25">
      <c r="B17" s="48" t="s">
        <v>148</v>
      </c>
      <c r="C17" s="47">
        <f>SUM(C13:C16)</f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B5" sqref="B5"/>
    </sheetView>
  </sheetViews>
  <sheetFormatPr defaultColWidth="11.453125" defaultRowHeight="12.5" x14ac:dyDescent="0.25"/>
  <cols>
    <col min="1" max="1" width="17" style="58" customWidth="1"/>
    <col min="2" max="2" width="19.1796875" style="58" customWidth="1"/>
    <col min="3" max="3" width="13.453125" style="58" customWidth="1"/>
    <col min="4" max="16384" width="11.453125" style="58"/>
  </cols>
  <sheetData>
    <row r="1" spans="1:5" ht="13" x14ac:dyDescent="0.3">
      <c r="A1" s="78" t="s">
        <v>204</v>
      </c>
      <c r="B1" s="79" t="s">
        <v>203</v>
      </c>
      <c r="C1" s="79" t="s">
        <v>202</v>
      </c>
      <c r="D1" s="79" t="s">
        <v>201</v>
      </c>
      <c r="E1" s="79" t="s">
        <v>200</v>
      </c>
    </row>
    <row r="2" spans="1:5" ht="13" x14ac:dyDescent="0.3">
      <c r="A2" s="76" t="s">
        <v>199</v>
      </c>
      <c r="B2" s="71" t="s">
        <v>32</v>
      </c>
      <c r="C2" s="74" t="s">
        <v>197</v>
      </c>
      <c r="D2" s="74" t="s">
        <v>197</v>
      </c>
      <c r="E2" s="97" t="str">
        <f>IF(E$7="","",E$7)</f>
        <v/>
      </c>
    </row>
    <row r="3" spans="1:5" x14ac:dyDescent="0.25">
      <c r="A3" s="72"/>
      <c r="B3" s="71" t="s">
        <v>1</v>
      </c>
      <c r="C3" s="74"/>
      <c r="D3" s="74"/>
      <c r="E3" s="97" t="str">
        <f>IF(E$7="","",E$7)</f>
        <v/>
      </c>
    </row>
    <row r="4" spans="1:5" x14ac:dyDescent="0.25">
      <c r="A4" s="72"/>
      <c r="B4" s="71" t="s">
        <v>2</v>
      </c>
      <c r="C4" s="74"/>
      <c r="D4" s="74"/>
      <c r="E4" s="97" t="str">
        <f>IF(E$7="","",E$7)</f>
        <v/>
      </c>
    </row>
    <row r="5" spans="1:5" x14ac:dyDescent="0.25">
      <c r="A5" s="72"/>
      <c r="B5" s="71" t="s">
        <v>3</v>
      </c>
      <c r="C5" s="74"/>
      <c r="D5" s="74"/>
      <c r="E5" s="97" t="str">
        <f>IF(E$7="","",E$7)</f>
        <v/>
      </c>
    </row>
    <row r="6" spans="1:5" x14ac:dyDescent="0.25">
      <c r="A6" s="72"/>
      <c r="B6" s="71" t="s">
        <v>4</v>
      </c>
      <c r="C6" s="74"/>
      <c r="D6" s="74"/>
      <c r="E6" s="97" t="str">
        <f>IF(E$7="","",E$7)</f>
        <v/>
      </c>
    </row>
    <row r="7" spans="1:5" x14ac:dyDescent="0.25">
      <c r="A7" s="72"/>
      <c r="B7" s="71" t="s">
        <v>195</v>
      </c>
      <c r="C7" s="70"/>
      <c r="D7" s="69"/>
      <c r="E7" s="74"/>
    </row>
    <row r="9" spans="1:5" ht="13" x14ac:dyDescent="0.3">
      <c r="A9" s="78" t="s">
        <v>198</v>
      </c>
      <c r="B9" s="77" t="s">
        <v>32</v>
      </c>
      <c r="C9" s="74"/>
      <c r="D9" s="74"/>
      <c r="E9" s="98" t="str">
        <f>IF(E$14="","",E$14)</f>
        <v>x</v>
      </c>
    </row>
    <row r="10" spans="1:5" x14ac:dyDescent="0.25">
      <c r="A10" s="72"/>
      <c r="B10" s="71" t="s">
        <v>1</v>
      </c>
      <c r="C10" s="74" t="s">
        <v>197</v>
      </c>
      <c r="D10" s="74" t="s">
        <v>197</v>
      </c>
      <c r="E10" s="97" t="str">
        <f>IF(E$14="","",E$14)</f>
        <v>x</v>
      </c>
    </row>
    <row r="11" spans="1:5" x14ac:dyDescent="0.25">
      <c r="A11" s="72"/>
      <c r="B11" s="71" t="s">
        <v>2</v>
      </c>
      <c r="C11" s="74"/>
      <c r="D11" s="74"/>
      <c r="E11" s="97" t="str">
        <f>IF(E$14="","",E$14)</f>
        <v>x</v>
      </c>
    </row>
    <row r="12" spans="1:5" x14ac:dyDescent="0.25">
      <c r="A12" s="72"/>
      <c r="B12" s="71" t="s">
        <v>3</v>
      </c>
      <c r="C12" s="74"/>
      <c r="D12" s="74"/>
      <c r="E12" s="97" t="str">
        <f>IF(E$14="","",E$14)</f>
        <v>x</v>
      </c>
    </row>
    <row r="13" spans="1:5" x14ac:dyDescent="0.25">
      <c r="A13" s="72"/>
      <c r="B13" s="71" t="s">
        <v>4</v>
      </c>
      <c r="C13" s="74"/>
      <c r="D13" s="74"/>
      <c r="E13" s="97" t="str">
        <f>IF(E$14="","",E$14)</f>
        <v>x</v>
      </c>
    </row>
    <row r="14" spans="1:5" x14ac:dyDescent="0.25">
      <c r="A14" s="72"/>
      <c r="B14" s="71" t="s">
        <v>195</v>
      </c>
      <c r="C14" s="70"/>
      <c r="D14" s="69"/>
      <c r="E14" s="74" t="s">
        <v>197</v>
      </c>
    </row>
    <row r="16" spans="1:5" ht="13" x14ac:dyDescent="0.3">
      <c r="A16" s="76" t="s">
        <v>196</v>
      </c>
      <c r="B16" s="71" t="s">
        <v>32</v>
      </c>
      <c r="C16" s="68"/>
      <c r="D16" s="75"/>
      <c r="E16" s="98" t="str">
        <f>IF(E$21="","",E$21)</f>
        <v/>
      </c>
    </row>
    <row r="17" spans="1:5" x14ac:dyDescent="0.25">
      <c r="A17" s="72"/>
      <c r="B17" s="71" t="s">
        <v>1</v>
      </c>
      <c r="C17" s="68"/>
      <c r="D17" s="74"/>
      <c r="E17" s="97" t="str">
        <f>IF(E$21="","",E$21)</f>
        <v/>
      </c>
    </row>
    <row r="18" spans="1:5" x14ac:dyDescent="0.25">
      <c r="A18" s="72"/>
      <c r="B18" s="71" t="s">
        <v>2</v>
      </c>
      <c r="C18" s="68"/>
      <c r="D18" s="74"/>
      <c r="E18" s="97" t="str">
        <f>IF(E$21="","",E$21)</f>
        <v/>
      </c>
    </row>
    <row r="19" spans="1:5" x14ac:dyDescent="0.25">
      <c r="A19" s="72"/>
      <c r="B19" s="71" t="s">
        <v>3</v>
      </c>
      <c r="C19" s="68"/>
      <c r="D19" s="74"/>
      <c r="E19" s="97" t="str">
        <f>IF(E$21="","",E$21)</f>
        <v/>
      </c>
    </row>
    <row r="20" spans="1:5" x14ac:dyDescent="0.25">
      <c r="A20" s="72"/>
      <c r="B20" s="71" t="s">
        <v>4</v>
      </c>
      <c r="C20" s="68"/>
      <c r="D20" s="73"/>
      <c r="E20" s="97" t="str">
        <f>IF(E$21="","",E$21)</f>
        <v/>
      </c>
    </row>
    <row r="21" spans="1:5" x14ac:dyDescent="0.25">
      <c r="A21" s="72"/>
      <c r="B21" s="71" t="s">
        <v>195</v>
      </c>
      <c r="C21" s="70"/>
      <c r="D21" s="69"/>
      <c r="E21" s="6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75" workbookViewId="0">
      <selection activeCell="D3" sqref="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102" t="s">
        <v>187</v>
      </c>
      <c r="B1" s="79" t="s">
        <v>211</v>
      </c>
      <c r="C1" s="103" t="s">
        <v>212</v>
      </c>
      <c r="D1" s="103" t="s">
        <v>216</v>
      </c>
    </row>
    <row r="2" spans="1:4" ht="13" x14ac:dyDescent="0.3">
      <c r="A2" s="103" t="s">
        <v>70</v>
      </c>
      <c r="B2" s="71" t="s">
        <v>67</v>
      </c>
      <c r="C2" s="71" t="s">
        <v>213</v>
      </c>
      <c r="D2" s="74"/>
    </row>
    <row r="3" spans="1:4" ht="13" x14ac:dyDescent="0.3">
      <c r="A3" s="103" t="s">
        <v>215</v>
      </c>
      <c r="B3" s="71" t="s">
        <v>202</v>
      </c>
      <c r="C3" s="71" t="s">
        <v>214</v>
      </c>
      <c r="D3" s="7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42</vt:i4>
      </vt:variant>
    </vt:vector>
  </HeadingPairs>
  <TitlesOfParts>
    <vt:vector size="58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Fertility risks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frac_MAMtoSAM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frac_SAMtoMAM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2018-07-02T08:54:02Z</dcterms:modified>
</cp:coreProperties>
</file>