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C214E828-6DA0-433C-9DFC-41B280086371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0" i="2"/>
  <c r="I1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3" i="2"/>
  <c r="I12" i="2"/>
  <c r="I11" i="2"/>
  <c r="I10" i="2"/>
  <c r="I9" i="2"/>
  <c r="I8" i="2"/>
  <c r="I7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9CFA471B-1F70-48DD-A7DB-C197938691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85B06A7-59DF-4759-A306-02D4A130CF3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9EBE706C-2274-42EB-B97F-4339FACF8E6A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2A379237-0C70-4C25-8DD1-D48FFB07AA2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E7FCF03A-2BF5-46A2-882A-2EE54711EF5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B97EE00-334F-4DD0-83EC-889CDE2F62BD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18B4EA9A-BE2D-4750-A7AA-32E1746306F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44723F49-62C4-4308-AE63-1616168EF65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94BE0E04-E617-4E7D-A1FA-7753C8390D9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E004ABD5-BCA4-487F-AE2D-40A47870552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9620DA0-BF4A-451C-8C57-FFE27898057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1A6E7D14-7484-43E4-9C2A-565E7AFA3B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107E85BD-B526-463A-9F6B-99B662FDCE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C798A0A-6FCC-42D6-BF91-61AADC555E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A34197D-1D1B-4E4F-B1EF-51DE73EE10A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5B3A2F6C-E37E-41A6-9778-B59513D644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5CE2CA5-F8B5-44E4-B2A0-4445EA485F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6E412BF-43D0-4FB9-B094-06A6D7D62B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BEFD0A0-09B1-4EDC-BE4D-1E743C6E86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ECFEA58-9DCC-40E6-91E6-B06ACF97BA7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079FE533-DA3C-4EA2-AF90-FB861FA8441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FDF69E91-CC12-4D40-8AFB-5D7334A4037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8F40928-B109-47C4-BBF4-158E70DB9913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5047C96E-D253-4C28-A37D-44E12603B4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6CA57CBB-A322-4E6B-9535-7CF9B447367C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EC4A51CF-AD30-498E-8F73-4738269A91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F4355109-D1D6-4E49-BE9A-3440361F41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A3609DF7-8FBC-40C1-A134-3FABD18BCD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83A62A2-0331-4F33-B3B1-B3983A4FB3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27ED317-2DA7-4F85-94FD-92F443EDB4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188EDA1-7907-4DD6-B0CC-665F0A8475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02910465-91C4-4811-BB94-7DDA5D3B32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E6EFFA36-2FE9-4E4D-B8C4-82EBE8DB48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F7BB2771-2561-4354-8523-FA0751DDA15D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0847BE90-082A-4440-8C12-52CB9B16D24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B98F12F-55C0-492F-AEFA-EE0CD5F282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8A408C62-FD6B-43BB-A31A-CE1E6DDF05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C3AF59C-3ED9-4EFE-A36E-30FC34CC9B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16A9E0C9-D431-475F-B614-AC7BED7494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E622BC8-1319-4FC4-8F0C-355AE5F2DD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3E7BC73A-E996-445D-AB07-65BC085E47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F8F115D-E1F3-4696-8DFA-7EE23D0D09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8BA25693-7A00-49BC-A553-8DFFB60698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54D6CF8-911F-47BE-B0C5-B68FF37330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FBC63F3F-47D9-46D9-9FF8-D9B31E5C43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EBA18624-A270-4D5D-B8C6-CF6A6DA63E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696294FA-821B-403C-A37B-8A69107A80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38531B71-43BF-4527-BDFE-33D9EE7925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1D715C0-D39E-4E98-B2A5-624FE184BF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C27CF0B1-AB3C-4702-B006-87B9888C56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826A44F7-35EA-4556-A8FD-07D94FB692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329BB256-807D-4CC4-BBA2-77338A5D8B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27D48B47-FC4A-4E21-8340-D7D09A8F3F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B20E775-2C6D-46E9-9A90-92470B565B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0D8A8F2-DE1D-41C7-AFB4-61FDABCC84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81073B2-8FEE-4129-BBF8-21C10E7F80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0CC965BE-AF89-4D72-AAB9-13FC7C30B6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097B087-8AF2-48E9-AD0A-17D219A866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68299E69-2D10-46EB-8341-1D8C0C1273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7DDE120F-F5C9-43B0-B529-72A36A7B1E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3BD52C5C-A496-4FE9-85BF-E862CD13FA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9F30D20-3DDE-46FF-800F-8008C0EF35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E98F00C9-1131-454C-A79E-5E47649181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5AD5F05-A11B-4DC5-A5A7-06DEBED380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F4F1F888-F5CA-4A89-B0AC-264DDC7026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2D16EE5D-999C-4D98-A844-77AC817FBC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E336332-D302-4A2E-B974-4566BA1E85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F1B796BB-A104-45BD-90ED-BC26610724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EBE43F48-CCE8-41B0-8CC7-90EBFAD508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16D6B9C-26E2-43AA-BC14-D135AB18A4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50069134-705E-4637-95B8-710EF00529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A1E0DA45-8673-49A4-B397-F30A820E65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6A5F0767-D85E-4954-824D-CD71D94159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EAA75F6B-472C-4F39-A47C-79694B663D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5255D45-2898-4ABF-BAB2-92250B1FE0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FE1D7D2E-6054-463C-AAB7-00A149E30B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F2139D80-7969-46A2-89E8-DBA0DBA8BD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97EB7CC-B810-4B35-BD2D-6EDA2FA7E0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2CF0112B-A488-4A07-A126-EC043183DA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FEF1803-86A5-4451-8F78-246A3F0B39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05F5CFC-AED9-4E7D-A883-9A39EE066F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51F23564-9FF9-42B0-8F8A-924C654F1C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B1A0D9B-1CA5-4030-A1A7-A3FAF1F136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8A1FC715-D022-4B2E-B46D-249E115D72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A6766360-A5DA-4797-AA6C-4A439E44F4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6645671-F2B6-4E47-966F-AE3D0D57CC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F0FB571-5900-46B5-B294-A025B9EF4A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7CFD3F9-5A78-4C5A-86E4-91FA9F7131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CC23DAC-47DB-4F43-B2FC-82AF6A73D7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F6E880E-FD90-45ED-BA94-B0EBD9C4E3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8D6E82D-1275-4673-9DD5-38B2C2AC8E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53ED0146-65FD-4063-9D39-D5F8D80201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0DF8480C-C4ED-4ABC-8C40-0A9F72541B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95313D41-387F-4234-9DFB-F961398479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10211E02-6EB4-4B3A-8204-0D41524B1D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8324ABE-5753-410F-A7B7-0A9047F3D1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BD706F77-A4EE-4E66-8A8F-8395E3E64D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8051CAC-95CB-4D59-92BC-C67D65EB9B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7B842705-2870-4229-8229-013762A671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2C694D32-3EAE-44E2-A8B0-EF65585E2A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A0D4DF27-4192-487B-A1AE-9FAD25D302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F85002F-2876-4C27-A7AC-640BD64089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1C8C68D-E34F-471A-B94F-70331A3835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FF074F27-36E3-4E88-BDBD-B297289F9F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CCEAB97-C15A-4E36-867A-86D83607CB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0D9EF76-1FD8-479F-A15A-0099062BE4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FD17472-D2F4-40FC-B8F8-4314637551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4107DEF6-04A4-48E0-A4F7-B0EFC37414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914D04E-69F8-444C-960D-320DED7173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80180AA0-A2B4-428C-9087-97069CDA31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71F26D83-75D1-421E-A997-A5CC87BA1E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C9E0A4B8-DA7A-46CE-BE7F-FD63F85859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8B5ACCEB-D9CE-46FC-9BBD-937B12FE78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662A399B-6719-4163-8C48-C13FD917D6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9E9DEC51-4AC2-456A-8439-1FF9C1676B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8442A1F-0ED6-4EB8-8C44-C42CC1FE669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BB8AD0E-3397-41AB-9C53-06C570AC29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DA028657-1C5F-422A-B906-56F966B4939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BF305246-4FE7-46D1-B0AC-893E207147F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7733C33C-F49C-4D05-B898-F4038D3C30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BACD07B0-84CA-4A4D-9A96-D6AAFC99D7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DEC84EFC-BFE9-44E7-9550-E16CB48D0C4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37729BE-6E15-40E2-B539-632AD00FDBF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C7F8488D-B7C6-4A88-A0FF-14B5A8C52D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F4ACFD9-0F21-48AD-823B-B0F76EC37D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60C932D-CC68-485E-8743-D1916A77AE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C342B004-8F45-4C12-AFE4-DDE423BEA1E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9A7DA8B-9528-4D77-ACF3-EEDF436A69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98912F3E-44CA-406E-B084-1D7403432F6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3B1939D-B674-49A2-ABD3-67CA3860FC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0F3A84EB-5746-4A25-8D47-C532279BC90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4D3F8A8F-D5FA-416C-9BA5-1D309629AC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402BF2E-0D55-4B37-AC64-D19F796F6D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B1F64959-4A6C-48B7-81D8-0422F89462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76A11A96-780C-4BFA-8568-34F95A5402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2ECA073B-0287-4C18-9C5B-840167A34E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37C7898D-B20B-4622-A68A-15257234B6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A8AFF10C-F4D1-4798-9217-887BE020BFB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B06946D-F0EF-49CB-9AC2-B446F17B63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D29A331F-69FC-4354-B40B-CED9BFAEEA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CEEDF3F2-1D76-44E6-8ED9-49BE50E12B3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5EFBF172-597F-44D5-97BF-338676B7E5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86C29EE-3290-4011-AC15-42D29CB253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BD4DCFE-748A-45AD-A800-D33554A09E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F42279D-9543-4F26-980E-8A732DB2C0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405B0D0-B2A0-46B9-A8CB-8E254F5AFC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3463F1F-5E3C-4BDD-BBBA-711BA35FD8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DA1502D1-9D3C-4DBD-88BC-D09F803B29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829400C5-80CD-4AC0-A18D-12A653AFCC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6FDB57D-8E2B-4AC1-A9B3-9F9735CFA6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0265EC0-5562-452E-960E-93A5B3D490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D182F4A-7C01-416B-B227-43C5E68A74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17837D1-1BB4-443D-9A4F-61720DC64B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29D1102-F427-49B5-892D-F0951846D5E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4429810-035C-4F43-9AB0-B58E7A2F4E5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7AE0580-20A1-4EC5-A818-5F98007FCA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1AF30E2-DD2F-4368-8FBE-247BCF0954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2503D5DD-FDFD-4E09-A5D1-302A7B267DB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4BACE09-622E-4358-A920-5419B8F68F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368CDE72-02E8-44D7-AD04-3786664BF9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494F4F1-7903-47D2-985C-DE636A74F3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D4A6F3C7-96CE-4A57-BCF8-4FDEF21D1C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F0B0B4DC-A1D2-4EEF-8073-161C6FA986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3D24717-FFEA-43EB-AACB-32F8C4208E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DB95B9D-C709-4B2F-A575-A0791220CB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DA80B78-7F7A-437F-B919-1631455C82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A6A5E3D0-7370-4C79-A528-D32788AFFE8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5260A711-04FF-441F-A41E-43A8A90900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EC22C8E-FADF-4AD8-AAA2-F0BDAF7663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33653870-C75D-4881-AB35-0EB2D22FD9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46E93186-4201-4BC6-B0A0-2AF5DCE18D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37077EB3-87F6-4B8F-AD77-E22E722116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4A0E8F1-C465-4A76-86C4-D2E2A3C06D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A40D355F-B1F5-4B90-AF3B-16B198B527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829C05DD-B390-4096-B615-3D884F45E8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8D16F16F-F975-43E7-8AC3-E4C18391ED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1C02FF75-A18F-47FB-88FB-D76BD22111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8E12F8B-1B28-45AA-8935-C7D865F22A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885A7342-9BA3-4BD0-8493-DED259B7DC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18BFE952-97A1-4F3E-9CE6-A2D3113F97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78549315-8022-4C4C-80F0-506805E1F7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390F17BF-6B1C-4801-8346-3CC24F1A6E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333D66C-12AF-447B-8BF4-334A43DD6F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257EAF6-3B5F-450A-B501-2E91695127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450669A8-9BBA-43FA-80B8-C0659DC3AB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47C5077-0A10-4DF7-BD28-C8780919B0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2EA0EDC-FEF5-4E69-B97F-D43F96BB59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8E336902-C350-4435-AC00-A7F22E2A80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60C402D1-3F7A-494B-A533-F56B1271FE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84DA061C-A901-4300-8AB8-E6C9D32457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459B9C3-C6F6-4FF2-9F69-EC3CAC732B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24B5E8D3-012F-4E17-946E-241E055C81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2202207A-09C1-4E76-BD65-9326F035B8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D75418AA-72E0-4C0A-81DD-05730CA8E8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91593913-9920-4040-B9B2-D89F5048B7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6ED84AF-F1E8-4385-BB62-FB941C93EC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93B7B7A1-4FE1-42BD-AF2D-56F5127D0C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94E8F6C-C597-48A7-A616-A1C611F950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98ED027C-24CD-4E8C-B3F3-1CBBCB0397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FB9D2951-8069-4D88-9709-E49A2F1E4B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35AEE5C-827D-48AB-9B62-448E50F0829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443B8DB-76BE-4DAA-B068-EDCAC941AED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FCBB9F87-FE49-4E59-A86D-DC3137F465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04650E3-F037-4A91-9B8C-C213327807F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2D17DC1B-DF92-49DA-B73A-0B4B9D2B93B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8065EC60-BE74-4150-8CAD-447BF2A4A9D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8FB2EE6-2075-498D-B665-B0A7AFBD19A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A613BE1-A926-409F-9BE1-21EDC28C0E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90A5E68E-7B7A-433A-B302-79BAFFBF4D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2AACC0F9-0A26-4FEB-9E0B-E64C3608BC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72F553FB-3294-4E66-BF39-8CF5C22046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0FCBC7E9-E117-476D-9DC2-5CD97DA9CDB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569386D8-CB68-488A-B3D6-D8AE14CC1B8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68B99ECB-ABA5-488D-B122-321C732C0A0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1DC50AED-EF1E-4C2A-B775-F026533D0C3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C0CA8E5-CC04-4A15-8A46-969A9BA5072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8717AF29-A870-4A84-8BDB-C42F9111B86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0F0BF36A-CA32-4CCF-9FE8-7F1E7FC2735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6731031D-B8F9-4F81-8811-BAE8F4036A8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3AB6BC8-1A3B-4575-967C-A9E8588981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F60047C2-DA66-4391-8D0E-3ADDF99159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CF13CF0C-D53E-469B-A182-6DD56A9835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DC2B23E-893F-4335-B5D5-8818A8B092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5F26551B-6105-4D53-AB0B-AE0D430076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5E38AEA-EE0E-49B2-82A8-5237C4A416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643F550-80BF-4948-81B8-43866CFBE4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AFA86249-87F1-4466-B0D0-CF4D699FE6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EC0F3151-C9B3-4413-84DC-F1ABB05EF6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C01D065-D688-437D-9C77-90096F3A37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4A9D9923-4B2D-4166-9DA9-22774ABEC5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52054EB-11AE-488C-BCEC-E1DC87FC17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5568B439-6312-4AED-BE3D-7402D6386D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98327A3-3728-4606-BF37-6387C12E54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4359E4D-424A-48F7-A03F-C96D7CAA83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3DDEC6F2-902F-4BC4-B569-4251F4C881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F2B39FDD-D57D-4AA3-91D4-457F99AEBC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4F14EBAF-AC58-497C-9452-0C4228F9EA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050F700-0E04-4D9A-8413-A25E6F15DC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3372273B-1799-4B63-9005-33C3F61D7D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93BAC120-D111-4F4A-89AC-2C7333F0B5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BF375A1-531E-4798-9397-745C0AF214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20314EF5-9D1E-49F5-A86A-77C638F57E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4401276-15A7-45E0-859B-219A36CE04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73C5CD06-2AB5-4EA2-ACC0-8194D2E934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FC2B052-9B12-4B2E-9E7F-4BD01BE64E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71940E8-8EED-4860-A7FC-D6C70AD672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4CFAAA9-D40E-492B-A8D4-9893BD8745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E9036D8-76F6-4BC2-8502-1FE9578948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0FFAC3DC-EA27-48DF-9657-07108DAC7F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A04B374D-A4C7-4DB2-8DEE-1E0898BB99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8ED041EB-FABF-4E17-9B37-36A6965FB7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BD64C34-B7B6-497C-AC2E-336EBB054C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F50CB187-FC25-46E0-8F75-B82DBCDC1E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4C28DF02-2BB5-407C-941A-AD3549B19E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15B136C-54E7-4EB7-9344-19DE5A9AD8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D22F65C1-8157-47C0-8AB3-577C1FFB83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46E8FF17-97BE-4908-9407-711418E7DA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66528FDB-D816-434A-88E7-FC668CB822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4AA4F95D-A32E-4CF8-9126-752E1D203B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FBAA4330-C517-4326-AA9E-6CCF1F1F14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3A24C461-A572-4918-A6FC-0FEF0B7AC1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BC91CA4-667C-4919-904F-4308390B151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AB808D0F-DE74-40F0-AA8D-6D6AAE098EF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3EB6A4B-DE85-4EB2-958B-A4E7B372213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0223930-AEDB-4B92-8759-D691100AD48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B070A61-471D-4640-A393-5257A87D451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7D1B8A6B-8D8B-4B1B-9E4F-F1F8AE8B12F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8827037A-730B-49AF-BCF8-021B298D7C1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6A979002-7660-4DCF-963B-C4940FDDE3C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4835AD0B-AC96-4130-B57C-4CEA8B80AA2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FABCAC6-3845-4C78-B0FC-EBAB006C3B2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2047C77A-9E24-4CC9-8BEC-7FE1DC3BC71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807AE946-E8CA-45CC-8FF2-A01A8054EB1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3ABD7ED3-19B6-47BE-8F2D-26C4FC0639F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EAD13AC3-EEE9-4477-9327-23D960D535F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A541BA3-5F6C-4ABE-A2C1-7D386265079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17ABFD19-98F7-4200-B2B7-54ADCA74579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189B0DD1-7FED-4B1F-B296-B24AFBD1D01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441D25F-FE16-4AF9-AAA7-21C4307B0F3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DFE7D7C2-0CAA-47B7-9744-0FA7FA35649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45772A4-9392-4FE6-922B-42D36FF8E28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48930B74-13B9-46A0-98DD-616B469BDB5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CE3F9C9E-9E09-4B63-8503-C227617CEFF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CE7F3F1-2347-4E5D-94B0-AE86874B1B1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DE075373-6C42-4037-B1C2-8C2BBB6E3A0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D6A0375A-F261-4940-B64C-A763C20788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0AFC200A-249E-47E6-8EFB-EBFCA3D1570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7E6757C-525B-4517-A298-AE088C936C82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039286AF-B5DA-4218-BB84-36196637A75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54B31E4D-9377-48CD-9B21-B15F06A2AA1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5E3A4D26-5990-4917-B8D3-6BCB3A4AE1B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5627C65-972C-4439-A716-C4165011B0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04C6F7E7-7A58-4FA3-9FF4-7E9F091704C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040B882-E0B8-46D6-AAB4-F376D110E5D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5A4D37D-901F-43FA-97E8-8E7B19E35B1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E529874B-ECBA-47BA-AADC-5958ED07077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5F275895-E6BC-4461-BDD9-EA6FE566DA4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67EC5AD0-650B-49FC-90F1-3E0D7745B5E3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98B9412-5478-45F3-ABE4-1FA1D2242FD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3D912A6E-F45E-4983-AAFA-4CDF0BE1AB0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301D0251-F6DC-4C9A-8D7F-E772404D063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FFA3E79-AA8B-4163-BCBD-66AF95D39BB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23066961-BB9F-4E9C-895C-AB0C79A253B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5746F858-347E-4A35-A029-D51AF0B59CCF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7BF35BD-56EF-49E5-A9B2-0D35C8E77AD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B7A84B78-2138-423A-9ABA-F6B6CEA8974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EF54CA1D-9DC1-44C7-B6D6-2CFE4D5C240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8355EE41-0345-4B8A-8E1D-59F33525AA2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C13D9030-7CB1-49DA-9308-9147F01D409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23E51C75-F5DA-4478-A30B-6860D57A837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D2CB4152-3F29-4BD7-8B94-75E798EAEC5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2CA41901-4315-42E0-BF66-AA773DA053D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92B2BC0-DC0D-46EF-8A5E-BDDC8FF1024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2FE1695F-D9B7-41BD-82E2-4A9B0FBF27D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6F477035-A170-4AD8-AE57-8F76C3E35AB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6DFF315-98E5-4596-8F2C-4668701C26B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C6A4A11-741C-480A-AC4F-A836929E520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BA81FDA6-A88E-4D02-9A80-374B142400C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B921D7B-B02F-41D8-9878-16C8EE73AF2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E44701BD-4BC3-4FC6-8B7D-631F6DE8608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3D8CC1B4-1CE3-40FA-A879-02C7E001AB8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A792602-D8D8-483C-BA6D-CE885485F2D5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79146E25-0428-4A01-8241-437FC66CFAE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<sst xmlns="http://schemas.openxmlformats.org/spreadsheetml/2006/main" count="1102" uniqueCount="271">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</sst>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173749</v>
      </c>
    </row>
    <row r="8" spans="1:3" ht="15" customHeight="1" x14ac:dyDescent="0.25">
      <c r="B8" s="7" t="s">
        <v>106</v>
      </c>
      <c r="C8" s="70">
        <v>0.14300000000000002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0.86947998046874997</v>
      </c>
    </row>
    <row r="11" spans="1:3" ht="15" customHeight="1" x14ac:dyDescent="0.25">
      <c r="B11" s="7" t="s">
        <v>108</v>
      </c>
      <c r="C11" s="70">
        <v>0.66799999999999993</v>
      </c>
    </row>
    <row r="12" spans="1:3" ht="15" customHeight="1" x14ac:dyDescent="0.25">
      <c r="B12" s="7" t="s">
        <v>109</v>
      </c>
      <c r="C12" s="70">
        <v>0.69599999999999995</v>
      </c>
    </row>
    <row r="13" spans="1:3" ht="15" customHeight="1" x14ac:dyDescent="0.25">
      <c r="B13" s="7" t="s">
        <v>110</v>
      </c>
      <c r="C13" s="70">
        <v>0.871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7.4200000000000002E-2</v>
      </c>
    </row>
    <row r="24" spans="1:3" ht="15" customHeight="1" x14ac:dyDescent="0.25">
      <c r="B24" s="20" t="s">
        <v>102</v>
      </c>
      <c r="C24" s="71">
        <v>0.63170000000000004</v>
      </c>
    </row>
    <row r="25" spans="1:3" ht="15" customHeight="1" x14ac:dyDescent="0.25">
      <c r="B25" s="20" t="s">
        <v>103</v>
      </c>
      <c r="C25" s="71">
        <v>0.28189999999999998</v>
      </c>
    </row>
    <row r="26" spans="1:3" ht="15" customHeight="1" x14ac:dyDescent="0.25">
      <c r="B26" s="20" t="s">
        <v>104</v>
      </c>
      <c r="C26" s="71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0.33899999999999997</v>
      </c>
    </row>
    <row r="30" spans="1:3" ht="14.25" customHeight="1" x14ac:dyDescent="0.25">
      <c r="B30" s="30" t="s">
        <v>76</v>
      </c>
      <c r="C30" s="73">
        <v>4.0999999999999995E-2</v>
      </c>
    </row>
    <row r="31" spans="1:3" ht="14.25" customHeight="1" x14ac:dyDescent="0.25">
      <c r="B31" s="30" t="s">
        <v>77</v>
      </c>
      <c r="C31" s="73">
        <v>6.7000000000000004E-2</v>
      </c>
    </row>
    <row r="32" spans="1:3" ht="14.25" customHeight="1" x14ac:dyDescent="0.25">
      <c r="B32" s="30" t="s">
        <v>78</v>
      </c>
      <c r="C32" s="73">
        <v>0.55299999999999994</v>
      </c>
    </row>
    <row r="33" spans="1:5" ht="13" x14ac:dyDescent="0.25">
      <c r="B33" s="32" t="s">
        <v>129</v>
      </c>
      <c r="C33" s="74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6.1</v>
      </c>
    </row>
    <row r="38" spans="1:5" ht="15" customHeight="1" x14ac:dyDescent="0.25">
      <c r="B38" s="16" t="s">
        <v>91</v>
      </c>
      <c r="C38" s="75">
        <v>7.8</v>
      </c>
      <c r="D38" s="17"/>
      <c r="E38" s="18"/>
    </row>
    <row r="39" spans="1:5" ht="15" customHeight="1" x14ac:dyDescent="0.25">
      <c r="B39" s="16" t="s">
        <v>90</v>
      </c>
      <c r="C39" s="75">
        <v>8.8000000000000007</v>
      </c>
      <c r="D39" s="17"/>
      <c r="E39" s="17"/>
    </row>
    <row r="40" spans="1:5" ht="15" customHeight="1" x14ac:dyDescent="0.25">
      <c r="B40" s="16" t="s">
        <v>171</v>
      </c>
      <c r="C40" s="75">
        <v>0.28999999999999998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1.5767494393999997</v>
      </c>
      <c r="D51" s="17"/>
    </row>
    <row r="52" spans="1:4" ht="15" customHeight="1" x14ac:dyDescent="0.25">
      <c r="B52" s="16" t="s">
        <v>125</v>
      </c>
      <c r="C52" s="76">
        <v>1.58222843297</v>
      </c>
    </row>
    <row r="53" spans="1:4" ht="15.75" customHeight="1" x14ac:dyDescent="0.25">
      <c r="B53" s="16" t="s">
        <v>126</v>
      </c>
      <c r="C53" s="76">
        <v>1.58222843297</v>
      </c>
    </row>
    <row r="54" spans="1:4" ht="15.75" customHeight="1" x14ac:dyDescent="0.25">
      <c r="B54" s="16" t="s">
        <v>127</v>
      </c>
      <c r="C54" s="76">
        <v>1.3289267629000001</v>
      </c>
    </row>
    <row r="55" spans="1:4" ht="15.75" customHeight="1" x14ac:dyDescent="0.25">
      <c r="B55" s="16" t="s">
        <v>128</v>
      </c>
      <c r="C55" s="76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0.60234891289851689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57.907989789407345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39.877408618072153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412.49823904286563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4.2611566933851979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1.4768743325540465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1.4768743325540465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1.4768743325540465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1.4768743325540465</v>
      </c>
      <c r="E13" s="86" t="s">
        <v>202</v>
      </c>
    </row>
    <row r="14" spans="1:5" ht="15.75" customHeight="1" x14ac:dyDescent="0.25">
      <c r="A14" s="11" t="s">
        <v>187</v>
      </c>
      <c r="B14" s="85">
        <v>9.0999999999999998E-2</v>
      </c>
      <c r="C14" s="85">
        <v>0.95</v>
      </c>
      <c r="D14" s="86">
        <v>13.009708061868064</v>
      </c>
      <c r="E14" s="86" t="s">
        <v>202</v>
      </c>
    </row>
    <row r="15" spans="1:5" ht="15.75" customHeight="1" x14ac:dyDescent="0.25">
      <c r="A15" s="11" t="s">
        <v>209</v>
      </c>
      <c r="B15" s="85">
        <v>9.0999999999999998E-2</v>
      </c>
      <c r="C15" s="85">
        <v>0.95</v>
      </c>
      <c r="D15" s="86">
        <v>13.009708061868064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0.71647386176341188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0.75700000000000001</v>
      </c>
      <c r="C18" s="85">
        <v>0.95</v>
      </c>
      <c r="D18" s="87">
        <v>9.5101355775698799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9.5101355775698799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9.5101355775698799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45.01292027832001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22.449305969663897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4.2777930485212776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18.576955013531048</v>
      </c>
      <c r="E24" s="86" t="s">
        <v>202</v>
      </c>
    </row>
    <row r="25" spans="1:5" ht="15.75" customHeight="1" x14ac:dyDescent="0.25">
      <c r="A25" s="52" t="s">
        <v>87</v>
      </c>
      <c r="B25" s="85">
        <v>0.42399999999999999</v>
      </c>
      <c r="C25" s="85">
        <v>0.95</v>
      </c>
      <c r="D25" s="86">
        <v>18.576236057473363</v>
      </c>
      <c r="E25" s="86" t="s">
        <v>202</v>
      </c>
    </row>
    <row r="26" spans="1:5" ht="15.75" customHeight="1" x14ac:dyDescent="0.25">
      <c r="A26" s="52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7.293378235241823</v>
      </c>
      <c r="E27" s="86" t="s">
        <v>202</v>
      </c>
    </row>
    <row r="28" spans="1:5" ht="15.75" customHeight="1" x14ac:dyDescent="0.25">
      <c r="A28" s="52" t="s">
        <v>84</v>
      </c>
      <c r="B28" s="85">
        <v>0.34499999999999997</v>
      </c>
      <c r="C28" s="85">
        <v>0.95</v>
      </c>
      <c r="D28" s="86">
        <v>1.2077720270579244</v>
      </c>
      <c r="E28" s="86" t="s">
        <v>202</v>
      </c>
    </row>
    <row r="29" spans="1:5" ht="15.75" customHeight="1" x14ac:dyDescent="0.25">
      <c r="A29" s="52" t="s">
        <v>58</v>
      </c>
      <c r="B29" s="85">
        <v>0.75700000000000001</v>
      </c>
      <c r="C29" s="85">
        <v>0.95</v>
      </c>
      <c r="D29" s="86">
        <v>113.37090356364762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0.59909969887929115</v>
      </c>
      <c r="E30" s="86" t="s">
        <v>202</v>
      </c>
    </row>
    <row r="31" spans="1:5" ht="15.75" customHeight="1" x14ac:dyDescent="0.25">
      <c r="A31" s="52" t="s">
        <v>28</v>
      </c>
      <c r="B31" s="85">
        <v>0.41450000000000004</v>
      </c>
      <c r="C31" s="85">
        <v>0.95</v>
      </c>
      <c r="D31" s="86">
        <v>1.5381241329788304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0.56999999999999995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0.93200000000000005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0.95099999999999996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4.4999999999999998E-2</v>
      </c>
      <c r="C37" s="85">
        <v>0.95</v>
      </c>
      <c r="D37" s="86">
        <v>2.7579992310105732</v>
      </c>
      <c r="E37" s="86" t="s">
        <v>202</v>
      </c>
    </row>
    <row r="38" spans="1:6" ht="15.75" customHeight="1" x14ac:dyDescent="0.25">
      <c r="A38" s="52" t="s">
        <v>60</v>
      </c>
      <c r="B38" s="85">
        <v>0.14899999999999999</v>
      </c>
      <c r="C38" s="85">
        <v>0.95</v>
      </c>
      <c r="D38" s="86">
        <v>1.5592463390932703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7.627831119999999E-2</v>
      </c>
      <c r="C3" s="26">
        <f>frac_mam_1_5months * 2.6</f>
        <v>7.627831119999999E-2</v>
      </c>
      <c r="D3" s="26">
        <f>frac_mam_6_11months * 2.6</f>
        <v>3.4263637200000002E-2</v>
      </c>
      <c r="E3" s="26">
        <f>frac_mam_12_23months * 2.6</f>
        <v>7.7441153400000006E-3</v>
      </c>
      <c r="F3" s="26">
        <f>frac_mam_24_59months * 2.6</f>
        <v>2.4344883333333331E-2</v>
      </c>
    </row>
    <row r="4" spans="1:6" ht="15.75" customHeight="1" x14ac:dyDescent="0.25">
      <c r="A4" s="3" t="s">
        <v>66</v>
      </c>
      <c r="B4" s="26">
        <f>frac_sam_1month * 2.6</f>
        <v>6.8123889600000001E-2</v>
      </c>
      <c r="C4" s="26">
        <f>frac_sam_1_5months * 2.6</f>
        <v>6.8123889600000001E-2</v>
      </c>
      <c r="D4" s="26">
        <f>frac_sam_6_11months * 2.6</f>
        <v>3.1664438E-3</v>
      </c>
      <c r="E4" s="26">
        <f>frac_sam_12_23months * 2.6</f>
        <v>3.332537E-3</v>
      </c>
      <c r="F4" s="26">
        <f>frac_sam_24_59months * 2.6</f>
        <v>1.0304830466666666E-2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33748.752464999998</v>
      </c>
      <c r="C2" s="78">
        <v>111846</v>
      </c>
      <c r="D2" s="78">
        <v>195672</v>
      </c>
      <c r="E2" s="78">
        <v>196069</v>
      </c>
      <c r="F2" s="78">
        <v>191602</v>
      </c>
      <c r="G2" s="22">
        <f t="shared" ref="G2:G40" si="0">C2+D2+E2+F2</f>
        <v>695189</v>
      </c>
      <c r="H2" s="22">
        <f t="shared" ref="H2:H40" si="1">(B2 + stillbirth*B2/(1000-stillbirth))/(1-abortion)</f>
        <v>38947.459337349399</v>
      </c>
      <c r="I2" s="22">
        <f>G2-H2</f>
        <v>656241.5406626506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33603.184000000001</v>
      </c>
      <c r="C3" s="78">
        <v>105000</v>
      </c>
      <c r="D3" s="78">
        <v>202000</v>
      </c>
      <c r="E3" s="78">
        <v>193000</v>
      </c>
      <c r="F3" s="78">
        <v>191000</v>
      </c>
      <c r="G3" s="22">
        <f t="shared" si="0"/>
        <v>691000</v>
      </c>
      <c r="H3" s="22">
        <f t="shared" si="1"/>
        <v>38779.467294465219</v>
      </c>
      <c r="I3" s="22">
        <f t="shared" ref="I3:I15" si="3">G3-H3</f>
        <v>652220.53270553483</v>
      </c>
    </row>
    <row r="4" spans="1:9" ht="15.75" customHeight="1" x14ac:dyDescent="0.25">
      <c r="A4" s="7">
        <f t="shared" si="2"/>
        <v>2019</v>
      </c>
      <c r="B4" s="77">
        <v>33439.370999999999</v>
      </c>
      <c r="C4" s="78">
        <v>97000</v>
      </c>
      <c r="D4" s="78">
        <v>208000</v>
      </c>
      <c r="E4" s="78">
        <v>190000</v>
      </c>
      <c r="F4" s="78">
        <v>190000</v>
      </c>
      <c r="G4" s="22">
        <f t="shared" si="0"/>
        <v>685000</v>
      </c>
      <c r="H4" s="22">
        <f t="shared" si="1"/>
        <v>38590.42030189724</v>
      </c>
      <c r="I4" s="22">
        <f t="shared" si="3"/>
        <v>646409.57969810278</v>
      </c>
    </row>
    <row r="5" spans="1:9" ht="15.75" customHeight="1" x14ac:dyDescent="0.25">
      <c r="A5" s="7">
        <f t="shared" si="2"/>
        <v>2020</v>
      </c>
      <c r="B5" s="77">
        <v>33275.436000000002</v>
      </c>
      <c r="C5" s="78">
        <v>91000</v>
      </c>
      <c r="D5" s="78">
        <v>212000</v>
      </c>
      <c r="E5" s="78">
        <v>185000</v>
      </c>
      <c r="F5" s="78">
        <v>190000</v>
      </c>
      <c r="G5" s="22">
        <f t="shared" si="0"/>
        <v>678000</v>
      </c>
      <c r="H5" s="22">
        <f t="shared" si="1"/>
        <v>38401.232516271986</v>
      </c>
      <c r="I5" s="22">
        <f t="shared" si="3"/>
        <v>639598.76748372801</v>
      </c>
    </row>
    <row r="6" spans="1:9" ht="15.75" customHeight="1" x14ac:dyDescent="0.25">
      <c r="A6" s="7">
        <f t="shared" si="2"/>
        <v>2021</v>
      </c>
      <c r="B6" s="77">
        <v>33053.83</v>
      </c>
      <c r="C6" s="78">
        <v>85000</v>
      </c>
      <c r="D6" s="78">
        <v>213000</v>
      </c>
      <c r="E6" s="78">
        <v>182000</v>
      </c>
      <c r="F6" s="78">
        <v>190000</v>
      </c>
      <c r="G6" s="22">
        <f t="shared" si="0"/>
        <v>670000</v>
      </c>
      <c r="H6" s="22">
        <f t="shared" si="1"/>
        <v>38145.490006001019</v>
      </c>
      <c r="I6" s="22">
        <f t="shared" si="3"/>
        <v>631854.50999399903</v>
      </c>
    </row>
    <row r="7" spans="1:9" ht="15.75" customHeight="1" x14ac:dyDescent="0.25">
      <c r="A7" s="7">
        <f t="shared" si="2"/>
        <v>2022</v>
      </c>
      <c r="B7" s="77">
        <v>32843.631999999998</v>
      </c>
      <c r="C7" s="78">
        <v>81000</v>
      </c>
      <c r="D7" s="78">
        <v>213000</v>
      </c>
      <c r="E7" s="78">
        <v>178000</v>
      </c>
      <c r="F7" s="78">
        <v>192000</v>
      </c>
      <c r="G7" s="22">
        <f t="shared" si="0"/>
        <v>664000</v>
      </c>
      <c r="H7" s="22">
        <f t="shared" si="1"/>
        <v>37902.91280062779</v>
      </c>
      <c r="I7" s="22">
        <f t="shared" si="3"/>
        <v>626097.08719937224</v>
      </c>
    </row>
    <row r="8" spans="1:9" ht="15.75" customHeight="1" x14ac:dyDescent="0.25">
      <c r="A8" s="7">
        <f t="shared" si="2"/>
        <v>2023</v>
      </c>
      <c r="B8" s="77">
        <v>32610.617999999999</v>
      </c>
      <c r="C8" s="78">
        <v>77000</v>
      </c>
      <c r="D8" s="78">
        <v>210000</v>
      </c>
      <c r="E8" s="78">
        <v>175000</v>
      </c>
      <c r="F8" s="78">
        <v>192000</v>
      </c>
      <c r="G8" s="22">
        <f t="shared" si="0"/>
        <v>654000</v>
      </c>
      <c r="H8" s="22">
        <f t="shared" si="1"/>
        <v>37634.004985459076</v>
      </c>
      <c r="I8" s="22">
        <f t="shared" si="3"/>
        <v>616365.99501454097</v>
      </c>
    </row>
    <row r="9" spans="1:9" ht="15.75" customHeight="1" x14ac:dyDescent="0.25">
      <c r="A9" s="7">
        <f t="shared" si="2"/>
        <v>2024</v>
      </c>
      <c r="B9" s="77">
        <v>32377.758000000002</v>
      </c>
      <c r="C9" s="78">
        <v>74000</v>
      </c>
      <c r="D9" s="78">
        <v>206000</v>
      </c>
      <c r="E9" s="78">
        <v>173000</v>
      </c>
      <c r="F9" s="78">
        <v>192000</v>
      </c>
      <c r="G9" s="22">
        <f t="shared" si="0"/>
        <v>645000</v>
      </c>
      <c r="H9" s="22">
        <f t="shared" si="1"/>
        <v>37365.274892674148</v>
      </c>
      <c r="I9" s="22">
        <f t="shared" si="3"/>
        <v>607634.72510732582</v>
      </c>
    </row>
    <row r="10" spans="1:9" ht="15.75" customHeight="1" x14ac:dyDescent="0.25">
      <c r="A10" s="7">
        <f t="shared" si="2"/>
        <v>2025</v>
      </c>
      <c r="B10" s="77">
        <v>32145.052</v>
      </c>
      <c r="C10" s="78">
        <v>72000</v>
      </c>
      <c r="D10" s="78">
        <v>200000</v>
      </c>
      <c r="E10" s="78">
        <v>174000</v>
      </c>
      <c r="F10" s="78">
        <v>191000</v>
      </c>
      <c r="G10" s="22">
        <f t="shared" si="0"/>
        <v>637000</v>
      </c>
      <c r="H10" s="22">
        <f t="shared" si="1"/>
        <v>37096.722522273005</v>
      </c>
      <c r="I10" s="22">
        <f t="shared" si="3"/>
        <v>599903.27747772704</v>
      </c>
    </row>
    <row r="11" spans="1:9" ht="15.75" customHeight="1" x14ac:dyDescent="0.25">
      <c r="A11" s="7">
        <f t="shared" si="2"/>
        <v>2026</v>
      </c>
      <c r="B11" s="77">
        <v>31650.117199999997</v>
      </c>
      <c r="C11" s="78">
        <v>72000</v>
      </c>
      <c r="D11" s="78">
        <v>192000</v>
      </c>
      <c r="E11" s="78">
        <v>177000</v>
      </c>
      <c r="F11" s="78">
        <v>190000</v>
      </c>
      <c r="G11" s="22">
        <f t="shared" si="0"/>
        <v>631000</v>
      </c>
      <c r="H11" s="22">
        <f t="shared" si="1"/>
        <v>36525.547246457085</v>
      </c>
      <c r="I11" s="22">
        <f t="shared" si="3"/>
        <v>594474.45275354292</v>
      </c>
    </row>
    <row r="12" spans="1:9" ht="15.75" customHeight="1" x14ac:dyDescent="0.25">
      <c r="A12" s="7">
        <f t="shared" si="2"/>
        <v>2027</v>
      </c>
      <c r="B12" s="77">
        <v>31156.145999999997</v>
      </c>
      <c r="C12" s="78">
        <v>73000</v>
      </c>
      <c r="D12" s="78">
        <v>182000</v>
      </c>
      <c r="E12" s="78">
        <v>182000</v>
      </c>
      <c r="F12" s="78">
        <v>188000</v>
      </c>
      <c r="G12" s="22">
        <f t="shared" si="0"/>
        <v>625000</v>
      </c>
      <c r="H12" s="22">
        <f t="shared" si="1"/>
        <v>35955.484004985454</v>
      </c>
      <c r="I12" s="22">
        <f t="shared" si="3"/>
        <v>589044.51599501458</v>
      </c>
    </row>
    <row r="13" spans="1:9" ht="15.75" customHeight="1" x14ac:dyDescent="0.25">
      <c r="A13" s="7">
        <f t="shared" si="2"/>
        <v>2028</v>
      </c>
      <c r="B13" s="77">
        <v>30652.443199999994</v>
      </c>
      <c r="C13" s="78">
        <v>75000</v>
      </c>
      <c r="D13" s="78">
        <v>170000</v>
      </c>
      <c r="E13" s="78">
        <v>188000</v>
      </c>
      <c r="F13" s="78">
        <v>184000</v>
      </c>
      <c r="G13" s="22">
        <f t="shared" si="0"/>
        <v>617000</v>
      </c>
      <c r="H13" s="22">
        <f t="shared" si="1"/>
        <v>35374.190093708159</v>
      </c>
      <c r="I13" s="22">
        <f t="shared" si="3"/>
        <v>581625.80990629189</v>
      </c>
    </row>
    <row r="14" spans="1:9" ht="15.75" customHeight="1" x14ac:dyDescent="0.25">
      <c r="A14" s="7">
        <f t="shared" si="2"/>
        <v>2029</v>
      </c>
      <c r="B14" s="77">
        <v>30139.490599999994</v>
      </c>
      <c r="C14" s="78">
        <v>77000</v>
      </c>
      <c r="D14" s="78">
        <v>161000</v>
      </c>
      <c r="E14" s="78">
        <v>193000</v>
      </c>
      <c r="F14" s="78">
        <v>181000</v>
      </c>
      <c r="G14" s="22">
        <f t="shared" si="0"/>
        <v>612000</v>
      </c>
      <c r="H14" s="22">
        <f t="shared" si="1"/>
        <v>34782.221529797345</v>
      </c>
      <c r="I14" s="22">
        <f t="shared" si="3"/>
        <v>577217.7784702027</v>
      </c>
    </row>
    <row r="15" spans="1:9" ht="15.75" customHeight="1" x14ac:dyDescent="0.25">
      <c r="A15" s="7">
        <f t="shared" si="2"/>
        <v>2030</v>
      </c>
      <c r="B15" s="77">
        <v>29617.77</v>
      </c>
      <c r="C15" s="78">
        <v>78000</v>
      </c>
      <c r="D15" s="78">
        <v>153000</v>
      </c>
      <c r="E15" s="78">
        <v>197000</v>
      </c>
      <c r="F15" s="78">
        <v>178000</v>
      </c>
      <c r="G15" s="22">
        <f t="shared" si="0"/>
        <v>606000</v>
      </c>
      <c r="H15" s="22">
        <f t="shared" si="1"/>
        <v>34180.13433042515</v>
      </c>
      <c r="I15" s="22">
        <f t="shared" si="3"/>
        <v>571819.86566957482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126.94455984858976</v>
      </c>
      <c r="I17" s="22">
        <f t="shared" si="4"/>
        <v>-126.94455984858976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3.1088089999999997E-3</v>
      </c>
    </row>
    <row r="4" spans="1:8" ht="15.75" customHeight="1" x14ac:dyDescent="0.25">
      <c r="B4" s="24" t="s">
        <v>7</v>
      </c>
      <c r="C4" s="79">
        <v>8.6089965330358505E-3</v>
      </c>
    </row>
    <row r="5" spans="1:8" ht="15.75" customHeight="1" x14ac:dyDescent="0.25">
      <c r="B5" s="24" t="s">
        <v>8</v>
      </c>
      <c r="C5" s="79">
        <v>0.10718667378646962</v>
      </c>
    </row>
    <row r="6" spans="1:8" ht="15.75" customHeight="1" x14ac:dyDescent="0.25">
      <c r="B6" s="24" t="s">
        <v>10</v>
      </c>
      <c r="C6" s="79">
        <v>4.0317878254180553E-2</v>
      </c>
    </row>
    <row r="7" spans="1:8" ht="15.75" customHeight="1" x14ac:dyDescent="0.25">
      <c r="B7" s="24" t="s">
        <v>13</v>
      </c>
      <c r="C7" s="79">
        <v>0.13490381416608827</v>
      </c>
    </row>
    <row r="8" spans="1:8" ht="15.75" customHeight="1" x14ac:dyDescent="0.25">
      <c r="B8" s="24" t="s">
        <v>14</v>
      </c>
      <c r="C8" s="79">
        <v>4.594211875280633E-6</v>
      </c>
    </row>
    <row r="9" spans="1:8" ht="15.75" customHeight="1" x14ac:dyDescent="0.25">
      <c r="B9" s="24" t="s">
        <v>27</v>
      </c>
      <c r="C9" s="79">
        <v>0.27034643846260575</v>
      </c>
    </row>
    <row r="10" spans="1:8" ht="15.75" customHeight="1" x14ac:dyDescent="0.25">
      <c r="B10" s="24" t="s">
        <v>15</v>
      </c>
      <c r="C10" s="79">
        <v>0.43552279558574469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1.0842817391251701E-2</v>
      </c>
      <c r="D14" s="79">
        <v>1.0842817391251701E-2</v>
      </c>
      <c r="E14" s="79">
        <v>5.4939390603512403E-3</v>
      </c>
      <c r="F14" s="79">
        <v>5.4939390603512403E-3</v>
      </c>
    </row>
    <row r="15" spans="1:8" ht="15.75" customHeight="1" x14ac:dyDescent="0.25">
      <c r="B15" s="24" t="s">
        <v>16</v>
      </c>
      <c r="C15" s="79">
        <v>0.27882520661795401</v>
      </c>
      <c r="D15" s="79">
        <v>0.27882520661795401</v>
      </c>
      <c r="E15" s="79">
        <v>0.17185456266021101</v>
      </c>
      <c r="F15" s="79">
        <v>0.17185456266021101</v>
      </c>
    </row>
    <row r="16" spans="1:8" ht="15.75" customHeight="1" x14ac:dyDescent="0.25">
      <c r="B16" s="24" t="s">
        <v>17</v>
      </c>
      <c r="C16" s="79">
        <v>1.9159118603306099E-2</v>
      </c>
      <c r="D16" s="79">
        <v>1.9159118603306099E-2</v>
      </c>
      <c r="E16" s="79">
        <v>1.8011460323766399E-2</v>
      </c>
      <c r="F16" s="79">
        <v>1.8011460323766399E-2</v>
      </c>
    </row>
    <row r="17" spans="1:8" ht="15.75" customHeight="1" x14ac:dyDescent="0.25">
      <c r="B17" s="24" t="s">
        <v>18</v>
      </c>
      <c r="C17" s="79">
        <v>3.3619195109527003E-5</v>
      </c>
      <c r="D17" s="79">
        <v>3.3619195109527003E-5</v>
      </c>
      <c r="E17" s="79">
        <v>1.4634073505051499E-4</v>
      </c>
      <c r="F17" s="79">
        <v>1.4634073505051499E-4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4.1113999288322801E-3</v>
      </c>
      <c r="D19" s="79">
        <v>4.1113999288322801E-3</v>
      </c>
      <c r="E19" s="79">
        <v>7.4166940454409988E-3</v>
      </c>
      <c r="F19" s="79">
        <v>7.4166940454409988E-3</v>
      </c>
    </row>
    <row r="20" spans="1:8" ht="15.75" customHeight="1" x14ac:dyDescent="0.25">
      <c r="B20" s="24" t="s">
        <v>21</v>
      </c>
      <c r="C20" s="79">
        <v>1.4468277528507299E-4</v>
      </c>
      <c r="D20" s="79">
        <v>1.4468277528507299E-4</v>
      </c>
      <c r="E20" s="79">
        <v>1.1495381465848301E-3</v>
      </c>
      <c r="F20" s="79">
        <v>1.1495381465848301E-3</v>
      </c>
    </row>
    <row r="21" spans="1:8" ht="15.75" customHeight="1" x14ac:dyDescent="0.25">
      <c r="B21" s="24" t="s">
        <v>22</v>
      </c>
      <c r="C21" s="79">
        <v>4.2892838562427198E-2</v>
      </c>
      <c r="D21" s="79">
        <v>4.2892838562427198E-2</v>
      </c>
      <c r="E21" s="79">
        <v>0.165109545370553</v>
      </c>
      <c r="F21" s="79">
        <v>0.165109545370553</v>
      </c>
    </row>
    <row r="22" spans="1:8" ht="15.75" customHeight="1" x14ac:dyDescent="0.25">
      <c r="B22" s="24" t="s">
        <v>23</v>
      </c>
      <c r="C22" s="79">
        <v>0.64399031692583408</v>
      </c>
      <c r="D22" s="79">
        <v>0.64399031692583408</v>
      </c>
      <c r="E22" s="79">
        <v>0.63081791965804201</v>
      </c>
      <c r="F22" s="79">
        <v>0.63081791965804201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5.4900000000000004E-2</v>
      </c>
    </row>
    <row r="27" spans="1:8" ht="15.75" customHeight="1" x14ac:dyDescent="0.25">
      <c r="B27" s="24" t="s">
        <v>39</v>
      </c>
      <c r="C27" s="79">
        <v>6.1100000000000002E-2</v>
      </c>
    </row>
    <row r="28" spans="1:8" ht="15.75" customHeight="1" x14ac:dyDescent="0.25">
      <c r="B28" s="24" t="s">
        <v>40</v>
      </c>
      <c r="C28" s="79">
        <v>0.12189999999999999</v>
      </c>
    </row>
    <row r="29" spans="1:8" ht="15.75" customHeight="1" x14ac:dyDescent="0.25">
      <c r="B29" s="24" t="s">
        <v>41</v>
      </c>
      <c r="C29" s="79">
        <v>0.13519999999999999</v>
      </c>
    </row>
    <row r="30" spans="1:8" ht="15.75" customHeight="1" x14ac:dyDescent="0.25">
      <c r="B30" s="24" t="s">
        <v>42</v>
      </c>
      <c r="C30" s="79">
        <v>8.1500000000000003E-2</v>
      </c>
    </row>
    <row r="31" spans="1:8" ht="15.75" customHeight="1" x14ac:dyDescent="0.25">
      <c r="B31" s="24" t="s">
        <v>43</v>
      </c>
      <c r="C31" s="79">
        <v>6.5199999999999994E-2</v>
      </c>
    </row>
    <row r="32" spans="1:8" ht="15.75" customHeight="1" x14ac:dyDescent="0.25">
      <c r="B32" s="24" t="s">
        <v>44</v>
      </c>
      <c r="C32" s="79">
        <v>0.1313</v>
      </c>
    </row>
    <row r="33" spans="2:3" ht="15.75" customHeight="1" x14ac:dyDescent="0.25">
      <c r="B33" s="24" t="s">
        <v>45</v>
      </c>
      <c r="C33" s="79">
        <v>0.12720000000000001</v>
      </c>
    </row>
    <row r="34" spans="2:3" ht="15.75" customHeight="1" x14ac:dyDescent="0.25">
      <c r="B34" s="24" t="s">
        <v>46</v>
      </c>
      <c r="C34" s="79">
        <v>0.22170000000000001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0.75064179118195784</v>
      </c>
      <c r="D2" s="80">
        <v>0.75064179118195784</v>
      </c>
      <c r="E2" s="80">
        <v>0.74912513662381475</v>
      </c>
      <c r="F2" s="80">
        <v>0.72558336773834631</v>
      </c>
      <c r="G2" s="80">
        <v>0.66605296639966294</v>
      </c>
    </row>
    <row r="3" spans="1:15" ht="15.75" customHeight="1" x14ac:dyDescent="0.25">
      <c r="A3" s="5"/>
      <c r="B3" s="11" t="s">
        <v>118</v>
      </c>
      <c r="C3" s="80">
        <v>0.13900773910776995</v>
      </c>
      <c r="D3" s="80">
        <v>0.13900773910776995</v>
      </c>
      <c r="E3" s="80">
        <v>0.13306828084765135</v>
      </c>
      <c r="F3" s="80">
        <v>0.1332475629025667</v>
      </c>
      <c r="G3" s="80">
        <v>0.19277796424125004</v>
      </c>
    </row>
    <row r="4" spans="1:15" ht="15.75" customHeight="1" x14ac:dyDescent="0.25">
      <c r="A4" s="5"/>
      <c r="B4" s="11" t="s">
        <v>116</v>
      </c>
      <c r="C4" s="81">
        <v>8.1520166812993858E-2</v>
      </c>
      <c r="D4" s="81">
        <v>8.1520166812993858E-2</v>
      </c>
      <c r="E4" s="81">
        <v>8.1520166812993858E-2</v>
      </c>
      <c r="F4" s="81">
        <v>8.1520166812993858E-2</v>
      </c>
      <c r="G4" s="81">
        <v>8.1520166812993858E-2</v>
      </c>
    </row>
    <row r="5" spans="1:15" ht="15.75" customHeight="1" x14ac:dyDescent="0.25">
      <c r="A5" s="5"/>
      <c r="B5" s="11" t="s">
        <v>119</v>
      </c>
      <c r="C5" s="81">
        <v>2.8830302897278316E-2</v>
      </c>
      <c r="D5" s="81">
        <v>2.8830302897278316E-2</v>
      </c>
      <c r="E5" s="81">
        <v>3.6286415715539949E-2</v>
      </c>
      <c r="F5" s="81">
        <v>5.964890254609307E-2</v>
      </c>
      <c r="G5" s="81">
        <v>5.964890254609307E-2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0.82171956239671695</v>
      </c>
      <c r="D8" s="80">
        <v>0.82171956239671695</v>
      </c>
      <c r="E8" s="80">
        <v>0.84388300499999991</v>
      </c>
      <c r="F8" s="80">
        <v>0.89872442022623122</v>
      </c>
      <c r="G8" s="80">
        <v>0.91374516883043488</v>
      </c>
    </row>
    <row r="9" spans="1:15" ht="15.75" customHeight="1" x14ac:dyDescent="0.25">
      <c r="B9" s="7" t="s">
        <v>121</v>
      </c>
      <c r="C9" s="80">
        <v>0.12274112960328318</v>
      </c>
      <c r="D9" s="80">
        <v>0.12274112960328318</v>
      </c>
      <c r="E9" s="80">
        <v>0.14172081</v>
      </c>
      <c r="F9" s="80">
        <v>9.7015328873768736E-2</v>
      </c>
      <c r="G9" s="80">
        <v>7.292801816956522E-2</v>
      </c>
    </row>
    <row r="10" spans="1:15" ht="15.75" customHeight="1" x14ac:dyDescent="0.25">
      <c r="B10" s="7" t="s">
        <v>122</v>
      </c>
      <c r="C10" s="81">
        <v>2.9337811999999998E-2</v>
      </c>
      <c r="D10" s="81">
        <v>2.9337811999999998E-2</v>
      </c>
      <c r="E10" s="81">
        <v>1.3178321999999999E-2</v>
      </c>
      <c r="F10" s="81">
        <v>2.9785059000000001E-3</v>
      </c>
      <c r="G10" s="81">
        <v>9.3634166666666657E-3</v>
      </c>
    </row>
    <row r="11" spans="1:15" ht="15.75" customHeight="1" x14ac:dyDescent="0.25">
      <c r="B11" s="7" t="s">
        <v>123</v>
      </c>
      <c r="C11" s="81">
        <v>2.6201496000000001E-2</v>
      </c>
      <c r="D11" s="81">
        <v>2.6201496000000001E-2</v>
      </c>
      <c r="E11" s="81">
        <v>1.217863E-3</v>
      </c>
      <c r="F11" s="81">
        <v>1.2817449999999999E-3</v>
      </c>
      <c r="G11" s="81">
        <v>3.9633963333333333E-3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0.49191085225000003</v>
      </c>
      <c r="D14" s="82">
        <v>0.51822107709800003</v>
      </c>
      <c r="E14" s="82">
        <v>0.51822107709800003</v>
      </c>
      <c r="F14" s="82">
        <v>0.23575004308899999</v>
      </c>
      <c r="G14" s="82">
        <v>0.23575004308899999</v>
      </c>
      <c r="H14" s="83">
        <v>0.23199999999999998</v>
      </c>
      <c r="I14" s="83">
        <v>0.19770925110132162</v>
      </c>
      <c r="J14" s="83">
        <v>0.231409691629956</v>
      </c>
      <c r="K14" s="83">
        <v>0.25162995594713655</v>
      </c>
      <c r="L14" s="83">
        <v>0.22646080678899999</v>
      </c>
      <c r="M14" s="83">
        <v>0.1976467851075</v>
      </c>
      <c r="N14" s="83">
        <v>0.20009403659000002</v>
      </c>
      <c r="O14" s="83">
        <v>0.22096655884450001</v>
      </c>
    </row>
    <row r="15" spans="1:15" ht="15.75" customHeight="1" x14ac:dyDescent="0.25">
      <c r="B15" s="16" t="s">
        <v>68</v>
      </c>
      <c r="C15" s="80">
        <f>iron_deficiency_anaemia*C14</f>
        <v>0.2963019670957705</v>
      </c>
      <c r="D15" s="80">
        <f t="shared" ref="D15:O15" si="0">iron_deficiency_anaemia*D14</f>
        <v>0.31214990243107882</v>
      </c>
      <c r="E15" s="80">
        <f t="shared" si="0"/>
        <v>0.31214990243107882</v>
      </c>
      <c r="F15" s="80">
        <f t="shared" si="0"/>
        <v>0.14200378217043766</v>
      </c>
      <c r="G15" s="80">
        <f t="shared" si="0"/>
        <v>0.14200378217043766</v>
      </c>
      <c r="H15" s="80">
        <f t="shared" si="0"/>
        <v>0.13974494779245591</v>
      </c>
      <c r="I15" s="80">
        <f t="shared" si="0"/>
        <v>0.11908995247086097</v>
      </c>
      <c r="J15" s="80">
        <f t="shared" si="0"/>
        <v>0.13938937618748501</v>
      </c>
      <c r="K15" s="80">
        <f t="shared" si="0"/>
        <v>0.15156903041745939</v>
      </c>
      <c r="L15" s="80">
        <f t="shared" si="0"/>
        <v>0.1364084207834752</v>
      </c>
      <c r="M15" s="80">
        <f t="shared" si="0"/>
        <v>0.11905232614738941</v>
      </c>
      <c r="N15" s="80">
        <f t="shared" si="0"/>
        <v>0.12052642541746257</v>
      </c>
      <c r="O15" s="80">
        <f t="shared" si="0"/>
        <v>0.13309896650691075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0.374</v>
      </c>
      <c r="D2" s="81">
        <v>0.374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0.11699999999999999</v>
      </c>
      <c r="D3" s="81">
        <v>0.28899999999999998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0.183</v>
      </c>
      <c r="D4" s="81">
        <v>0.183</v>
      </c>
      <c r="E4" s="81">
        <v>0.55700000000000005</v>
      </c>
      <c r="F4" s="81">
        <v>0.67349999999999999</v>
      </c>
      <c r="G4" s="81">
        <v>0</v>
      </c>
    </row>
    <row r="5" spans="1:7" x14ac:dyDescent="0.25">
      <c r="B5" s="43" t="s">
        <v>169</v>
      </c>
      <c r="C5" s="80">
        <f>1-SUM(C2:C4)</f>
        <v>0.32600000000000007</v>
      </c>
      <c r="D5" s="80">
        <f>1-SUM(D2:D4)</f>
        <v>0.15399999999999991</v>
      </c>
      <c r="E5" s="80">
        <f>1-SUM(E2:E4)</f>
        <v>0.44299999999999995</v>
      </c>
      <c r="F5" s="80">
        <f>1-SUM(F2:F4)</f>
        <v>0.32650000000000001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0.21841000000000002</v>
      </c>
      <c r="D2" s="144">
        <v>0.21325</v>
      </c>
      <c r="E2" s="144">
        <v>0.20818999999999999</v>
      </c>
      <c r="F2" s="144">
        <v>0.20324999999999999</v>
      </c>
      <c r="G2" s="144">
        <v>0.19835</v>
      </c>
      <c r="H2" s="144">
        <v>0.19361</v>
      </c>
      <c r="I2" s="144">
        <v>0.18896000000000002</v>
      </c>
      <c r="J2" s="144">
        <v>0.18447</v>
      </c>
      <c r="K2" s="144">
        <v>0.18010999999999999</v>
      </c>
      <c r="L2" s="144">
        <v>0.17591999999999999</v>
      </c>
      <c r="M2" s="144">
        <v>0.17188999999999999</v>
      </c>
      <c r="N2" s="144">
        <v>0.16797999999999999</v>
      </c>
      <c r="O2" s="144">
        <v>0.16417000000000001</v>
      </c>
      <c r="P2" s="144">
        <v>0.16045000000000001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7.0919999999999997E-2</v>
      </c>
      <c r="D4" s="144">
        <v>6.9970000000000004E-2</v>
      </c>
      <c r="E4" s="144">
        <v>6.9029999999999994E-2</v>
      </c>
      <c r="F4" s="144">
        <v>6.8110000000000004E-2</v>
      </c>
      <c r="G4" s="144">
        <v>6.719E-2</v>
      </c>
      <c r="H4" s="144">
        <v>6.6290000000000002E-2</v>
      </c>
      <c r="I4" s="144">
        <v>6.5419999999999992E-2</v>
      </c>
      <c r="J4" s="144">
        <v>6.4589999999999995E-2</v>
      </c>
      <c r="K4" s="144">
        <v>6.3799999999999996E-2</v>
      </c>
      <c r="L4" s="144">
        <v>6.3049999999999995E-2</v>
      </c>
      <c r="M4" s="144">
        <v>6.234E-2</v>
      </c>
      <c r="N4" s="144">
        <v>6.164E-2</v>
      </c>
      <c r="O4" s="144">
        <v>6.096E-2</v>
      </c>
      <c r="P4" s="144">
        <v>6.0289999999999996E-2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0.17576887396697743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0.13712023799200954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0.12596626527528579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0.37400000000000005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0.6346666666666666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12.659000000000001</v>
      </c>
      <c r="D13" s="143">
        <v>12.319000000000001</v>
      </c>
      <c r="E13" s="143">
        <v>11.992000000000001</v>
      </c>
      <c r="F13" s="143">
        <v>11.693</v>
      </c>
      <c r="G13" s="143">
        <v>11.4</v>
      </c>
      <c r="H13" s="143">
        <v>11.127000000000001</v>
      </c>
      <c r="I13" s="143">
        <v>10.867000000000001</v>
      </c>
      <c r="J13" s="143">
        <v>10.624000000000001</v>
      </c>
      <c r="K13" s="143">
        <v>10.384</v>
      </c>
      <c r="L13" s="143">
        <v>10.162000000000001</v>
      </c>
      <c r="M13" s="143">
        <v>9.9659999999999993</v>
      </c>
      <c r="N13" s="143">
        <v>9.7370000000000001</v>
      </c>
      <c r="O13" s="143">
        <v>9.5399999999999991</v>
      </c>
      <c r="P13" s="143">
        <v>9.3360000000000003</v>
      </c>
    </row>
    <row r="14" spans="1:16" x14ac:dyDescent="0.25">
      <c r="B14" s="16" t="s">
        <v>170</v>
      </c>
      <c r="C14" s="143">
        <f>maternal_mortality</f>
        <v>0.28999999999999998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0.14300000000000002</v>
      </c>
      <c r="E2" s="92">
        <f>food_insecure</f>
        <v>0.14300000000000002</v>
      </c>
      <c r="F2" s="92">
        <f>food_insecure</f>
        <v>0.14300000000000002</v>
      </c>
      <c r="G2" s="92">
        <f>food_insecure</f>
        <v>0.14300000000000002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0.14300000000000002</v>
      </c>
      <c r="F5" s="92">
        <f>food_insecure</f>
        <v>0.14300000000000002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6.0644209207692298E-2</v>
      </c>
      <c r="D7" s="92">
        <f>diarrhoea_1_5mo/26</f>
        <v>6.0854939729615386E-2</v>
      </c>
      <c r="E7" s="92">
        <f>diarrhoea_6_11mo/26</f>
        <v>6.0854939729615386E-2</v>
      </c>
      <c r="F7" s="92">
        <f>diarrhoea_12_23mo/26</f>
        <v>5.1112567803846161E-2</v>
      </c>
      <c r="G7" s="92">
        <f>diarrhoea_24_59mo/26</f>
        <v>5.1112567803846161E-2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0.14300000000000002</v>
      </c>
      <c r="F8" s="92">
        <f>food_insecure</f>
        <v>0.14300000000000002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0.69599999999999995</v>
      </c>
      <c r="E9" s="92">
        <f>IF(ISBLANK(comm_deliv), frac_children_health_facility,1)</f>
        <v>0.69599999999999995</v>
      </c>
      <c r="F9" s="92">
        <f>IF(ISBLANK(comm_deliv), frac_children_health_facility,1)</f>
        <v>0.69599999999999995</v>
      </c>
      <c r="G9" s="92">
        <f>IF(ISBLANK(comm_deliv), frac_children_health_facility,1)</f>
        <v>0.69599999999999995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6.0644209207692298E-2</v>
      </c>
      <c r="D11" s="92">
        <f>diarrhoea_1_5mo/26</f>
        <v>6.0854939729615386E-2</v>
      </c>
      <c r="E11" s="92">
        <f>diarrhoea_6_11mo/26</f>
        <v>6.0854939729615386E-2</v>
      </c>
      <c r="F11" s="92">
        <f>diarrhoea_12_23mo/26</f>
        <v>5.1112567803846161E-2</v>
      </c>
      <c r="G11" s="92">
        <f>diarrhoea_24_59mo/26</f>
        <v>5.1112567803846161E-2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0.14300000000000002</v>
      </c>
      <c r="I14" s="92">
        <f>food_insecure</f>
        <v>0.14300000000000002</v>
      </c>
      <c r="J14" s="92">
        <f>food_insecure</f>
        <v>0.14300000000000002</v>
      </c>
      <c r="K14" s="92">
        <f>food_insecure</f>
        <v>0.14300000000000002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0.66799999999999993</v>
      </c>
      <c r="I17" s="92">
        <f>frac_PW_health_facility</f>
        <v>0.66799999999999993</v>
      </c>
      <c r="J17" s="92">
        <f>frac_PW_health_facility</f>
        <v>0.66799999999999993</v>
      </c>
      <c r="K17" s="92">
        <f>frac_PW_health_facility</f>
        <v>0.66799999999999993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0.871</v>
      </c>
      <c r="M23" s="92">
        <f>famplan_unmet_need</f>
        <v>0.871</v>
      </c>
      <c r="N23" s="92">
        <f>famplan_unmet_need</f>
        <v>0.871</v>
      </c>
      <c r="O23" s="92">
        <f>famplan_unmet_need</f>
        <v>0.871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6.7874325756835954E-2</v>
      </c>
      <c r="M24" s="92">
        <f>(1-food_insecure)*(0.49)+food_insecure*(0.7)</f>
        <v>0.52002999999999999</v>
      </c>
      <c r="N24" s="92">
        <f>(1-food_insecure)*(0.49)+food_insecure*(0.7)</f>
        <v>0.52002999999999999</v>
      </c>
      <c r="O24" s="92">
        <f>(1-food_insecure)*(0.49)+food_insecure*(0.7)</f>
        <v>0.52002999999999999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2.9088996752929693E-2</v>
      </c>
      <c r="M25" s="92">
        <f>(1-food_insecure)*(0.21)+food_insecure*(0.3)</f>
        <v>0.22286999999999998</v>
      </c>
      <c r="N25" s="92">
        <f>(1-food_insecure)*(0.21)+food_insecure*(0.3)</f>
        <v>0.22286999999999998</v>
      </c>
      <c r="O25" s="92">
        <f>(1-food_insecure)*(0.21)+food_insecure*(0.3)</f>
        <v>0.22286999999999998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3.355669702148438E-2</v>
      </c>
      <c r="M26" s="92">
        <f>(1-food_insecure)*(0.3)</f>
        <v>0.2571</v>
      </c>
      <c r="N26" s="92">
        <f>(1-food_insecure)*(0.3)</f>
        <v>0.2571</v>
      </c>
      <c r="O26" s="92">
        <f>(1-food_insecure)*(0.3)</f>
        <v>0.2571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0.86947998046874997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2020-03-24T06:48:22Z</dcterms:modified>
</cp:coreProperties>
</file>