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F3CE3095-C905-44DC-895C-7186C4981E9A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A34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2" i="2"/>
  <c r="I31" i="2"/>
  <c r="I27" i="2"/>
  <c r="I2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24" i="2"/>
  <c r="A18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38" i="2"/>
  <c r="C8" i="51" l="1"/>
  <c r="C7" i="51"/>
  <c r="C6" i="51"/>
  <c r="I15" i="2"/>
  <c r="I12" i="2"/>
  <c r="I11" i="2"/>
  <c r="I10" i="2"/>
  <c r="I9" i="2"/>
  <c r="I8" i="2"/>
  <c r="I7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6D9CF522-EAC4-4A75-8C6C-0A4DCFC208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1CFA3665-1F15-46FC-909A-0DF67957F0E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8C49350E-0780-4060-94F2-976330D24EEB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B4F9E096-B831-4FB3-AAD4-3A798C62428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7FF2D6BE-FBFE-4087-8ED0-85C348B2C246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87E59674-D6AE-47A7-B5FD-0C151F89C1E6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1AB6368E-1D82-4F14-9110-BAE197D16E0D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3B1F21F4-9FCD-40BA-A33F-FD52A427B67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E132D039-CD43-4A32-8C24-5D19F203640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9E18804E-6252-44E3-B1FB-405AAD2947A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F8E5CE1C-F74C-490E-A6ED-AE14AC65A4E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FC5EE2DB-D379-4E30-94E1-9B94BB6020E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7C72820B-CFFB-491D-A949-4737BE8323F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2E3C417B-D602-48A6-85D2-751BDDBBDEA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20A37A14-0F67-40B2-BC1D-7C3AA082336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FBCE03CF-FC80-45AA-BC23-80DE25D2CDD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30DE1B97-48DF-4B0F-B19B-BD3F0B0A146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E5A2DB79-3731-43FA-B60D-DEF8AB292FD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51148425-D09F-4CB9-B1B0-9A4D59300A8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AA3058AC-DBBA-4130-9E1D-BDBAF6BDA34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3E0F39A8-D562-40F3-88A9-2D6BBBC952C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158F42D5-D220-4A3A-9CE5-73454A571EB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F735DD79-D6DC-48B1-B685-6692AE2A155D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CBCA6A38-36BD-4357-B7BF-0330EFECA13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A4963526-EBF7-448F-9B19-4029572A79AC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19F39ECC-393F-4402-A9C9-75521E95F33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0DB56534-387E-4147-957B-882E59AC13C6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CBB20D29-1001-4287-A5E8-B427AE5BF309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07BB4F04-5C2F-4371-B003-4FB097EF75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25F0DF67-6F42-47B0-B0FC-69ABB6C609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98ADABE3-C46A-4380-9AA2-6BBF3FE090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F7B15671-27BE-4768-AA79-6E2A355DCC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14800557-72AE-47AF-B0B9-F416F599AA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56F2BA5E-29EC-41BC-BB7F-C06E61A14F4B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0562DC57-CA53-4449-9BE3-4D692F658A4F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4300C718-F6B8-46AF-84B2-515990DCB5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C0DAF135-7C24-4E4E-9837-13A820E671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46AAB2F1-5F4B-4BD5-B5C6-8F7AE2C676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F6895722-CF1F-4F53-8A8E-8F6372E4F3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326CE235-69AB-456E-8554-4953BF0DEE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24BF032F-F8AC-4266-A73E-F6F8054402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42309C96-85C2-44C7-B53C-EF9BE81FAE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20A304EE-9B00-41A7-AA95-E689703EDB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1AF8385C-0EBD-4428-A197-E2497C4256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212CED7B-B67D-43F7-A998-6974D27B77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947D7895-C17F-45C8-98DB-53D8199239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D2A95604-6060-4A37-9CF9-B9FE85118A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7C7607BF-D5CC-4A26-8604-561E7AEB72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14B760A7-B280-44A4-8804-5A7E0E37BC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8F411A04-C224-4C1B-B423-FB32FC57B4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619D9174-7366-4FA1-BF8A-B41CB49108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C1ABD771-88CD-43E4-B1B9-2DE8C8B5A8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30B8003D-2879-4B8A-8593-891880F44A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C3632C52-02D5-4719-B4BE-F454211101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0EA20478-0531-42D2-9CC7-0A7BE99F1B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A237E06F-AE92-4B1A-B182-50E4005BD5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CE9A2983-1FFF-4DD0-9D94-5938ACC0E6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4F5D3101-4B4B-4A81-A89B-F8A0C1B265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B319B6B2-34DE-416C-9992-72713C5CB9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991719D8-55D6-4CF3-981A-CD1D097DB4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75C4BD3E-3EC5-4CF5-966A-C40B29504C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B983BD6E-C54A-4529-B403-BC9D80202A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F22A7D44-1BF1-4D35-A547-49D4F4CD80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3303C7DC-6AAA-4818-98B6-94080F606A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C53CDF95-3BE0-4993-8198-2D107A18AB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7765E9F9-A7E7-401E-8614-B085762A0C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A1CBDF68-2E19-4ECD-928B-CD587A6E66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06A9BE8D-612E-4E61-B5E1-BBF61D8B0E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582B876B-43D8-44A7-A22F-50EDCDC06B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1BEE2E23-8CB6-4B0A-8F44-83037B0104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AFE5B43C-C569-43A9-96CE-901EB05590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72922AAF-A09D-437C-9DB4-B9F3179845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07005E95-7FDE-4E63-8A55-D9F21DC947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7635429A-5761-49D7-A16D-CFA1D45298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980E9600-5D8D-4A34-B4D1-9E1AB3494D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A7ECD8E6-280C-4108-8524-343D936B9C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C967203A-9AC8-4819-99D0-3BF4A9ED6C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39E3E59A-FADA-404D-975F-C631536341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5697A116-3187-48CA-B86D-ED7E76DF7E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47523C9E-1AC8-498C-AF6B-F43FC05DFE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68DA5BAB-0B10-411E-8DB5-B38EEFD0B9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A72C670A-329F-4E83-8651-099A80A651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091E96E7-901C-42AE-BA61-4F5D9C65BE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043A6A5B-A382-46FD-9F41-B5962FA162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8BB15800-1078-419B-8E88-A9ED984E1E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EFA346BD-AA5E-4682-8329-23D7AE7D2C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49A3FDF4-926C-4EDB-991C-378CE68535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DFAC9153-0E36-4AC3-A6F0-8BD8A19931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0A99A5DB-7784-4A73-B0DD-2BC24DDB89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51975EF2-CD0B-4B61-B951-252D8F3268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17811BF3-B3B5-45C2-BBEA-1953DEEA30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2760813A-868D-47B0-80D3-491DE21E1E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3DF7E806-BF75-4B28-9D22-63BD3657B5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940D677E-2453-4D2E-AA79-3D3EE86FB4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853F455E-E154-4BA7-97D4-7E8037BE45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216FE209-7BFA-4985-88D6-BBE419F943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0FD96CFA-0029-499E-B700-FFB285A8A6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67A4C0D2-C808-4486-8853-55F99F0508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F27A3F17-6082-49E2-B652-E55B24C091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8684914F-DF98-415C-95C1-808CDD7EF1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9BB82D51-8F28-4846-81E7-98C32C9F32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DEB02BF4-1F07-444C-BA39-5D9D933C0A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C602BCE9-2BE0-4D49-A1D2-BAEA5D9B73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B11F1F77-D400-463E-9896-85426829C1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5356F32F-C98F-4176-A1B9-33D3E014BC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D1C499EF-A463-40D0-8F6F-7766595DFED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06009CFE-25F7-4D44-AC60-0B4B9FF3B1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2B0CFFF4-999A-45B2-8036-DCFE0E35CA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16DF978F-6CA5-4CF9-B60B-D95CAFED69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C22ABF79-746A-4203-AFE9-6B00FCF749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8106EBFC-B915-4023-B4BF-FB36479455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93D23032-4E7F-454F-AF3D-244994F6C2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15627131-D16F-4388-A542-13E3221292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53A95522-EB6B-424F-BAD6-441D947DE95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5D485D03-246C-481A-B88E-D06D3FBB64D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E7E49592-FD5D-408D-B59E-FDBDD0F161B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2653A8AD-749E-4604-9963-31AB061186B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4C9A359D-986E-40ED-9DEE-DC39B1D3097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6B1C7E17-6C97-4615-87DE-DDA1FE71BAE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716DEDB1-C701-492C-8F26-4D18638BF38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F1487A9B-D56B-4016-A12D-BA4BAAA9982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A7D9BD69-B10F-489E-B38C-4E7C61EBE96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980BCDFA-9B1E-4B01-AE6C-B7703DDE691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BC9B1E32-94D0-43B7-B47A-5976A65FA38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C63888F9-4FE0-4B5E-8475-A7B1050203D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D3820B79-623C-4756-9E45-D842BA37243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6FF11EF5-878E-428B-A938-B9C3F81DF59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CD9EA52C-049A-462A-9DFB-E49D1F231F1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240CB9C0-A846-4E7F-83BD-459C75C3B9F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47350E98-65DE-4D15-A667-68EA3D3195F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984C914D-AF2C-48E4-AF8E-22096ADA15B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EE1AA795-1593-49D4-9AFE-9600D80EC45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0363D15B-4ACB-4105-B6A7-C4241FE6E9C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15259004-06A5-4C2A-B960-E2546E4B193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85BC0238-21B4-40A9-88B5-6D52BA18928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28BE93B8-721B-41D1-A4D7-729CEF99B7E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2A79FDF1-575E-415E-8684-F788ADB8962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8955DC23-9495-4C6F-9444-9AF01227CE3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0A6E61D0-31C7-4360-A639-12F4B2D2AD1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21745195-AC96-4E41-BC1E-6DB86B8D196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FB7C537E-ADF0-4B00-81FF-7970465739F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D7918C62-2198-46F6-ACE5-C551A2B533C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A4A32268-0747-4EE6-9093-05AAE708EFE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BBDE361D-EC41-499B-9A6C-9770584BE6E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D169917F-3570-4088-A854-506D75856F4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4C9019C8-9040-4314-9CDB-EA05DEC12B6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4798FEC3-0A72-47AD-84B5-F46B286CC5C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618656EE-1CED-44E6-B965-0E2580D1188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5141282D-B24F-425D-8D4C-ABF25DE9BE1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BEDA2912-FA9B-4B1E-B9BE-E4F61EB9434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0D985602-047A-4F31-9CD2-13546CCCEC1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61995F87-6628-4D70-801C-E98A8F5E760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992BCC79-9ED7-4388-9667-94A8531C296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811D818D-B477-4B13-B4DF-583BED2D680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5BCB99A-6073-4B44-AA30-A420B26BF9D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A2E3620-F8BE-4B2E-96E3-5B8007F6FB4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F2006887-99F4-4F54-A3C2-917702A664E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F21787BD-F17E-4A7A-9852-76B664253C8A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4630E108-B67D-41EA-8E83-931B96E1F48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29EF76E4-0BF1-4A75-B090-5206CCE71FF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B3D9073A-5ED3-48A1-9CB0-99346ED0B13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2B00B4CF-4AE6-4931-AA98-2184A9E55BC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C0B150D3-F956-4A86-A78B-48A489AB71B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FC8A4940-3939-40D7-AD52-1C75372BFB2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C21613A4-11A9-44CE-B4B3-EFE9894FC62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7262D318-57E9-42CF-8E0A-1D19C898D94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0DC9E602-1DCD-4B76-B657-3A6F5E7A9DB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4A7C1C8D-9D5D-4F35-A407-39CDC52637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9E36E46B-226F-49A6-8679-FD5E86C60BD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F3EDC75D-73EA-4C72-90AC-2D70A81D23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5C12DF3D-063D-493A-9EE2-09BCA8F5644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43E05AC9-4B7D-49CE-8B75-E6F52136C62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0AF3F52C-B143-43C1-A23E-7B413CF88A3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982B53EF-9DCC-4712-97AD-F3BF819E4F9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22A004CD-D73B-4FF1-825D-FDC7B8A8E35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B7BF379C-5A29-4D7A-B41C-6C2543D882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1F21B9D6-6F60-4FA8-9BEF-CFB5BDAB3F2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D4D0B084-6461-4CF8-BE71-CD58D1D4633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2DF7FE49-8398-4A9D-BC39-E3F96C3F781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F0A4A6FE-C34D-4E35-AC13-F5697BD2DDA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FFFC0056-E98A-4FAD-9D25-AE40A4B10F3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BD883C94-07C1-4388-951D-575EE9D8716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468B6CB9-A465-4A60-ACC6-77B32917FE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7A6B6CAF-15BC-4A43-8496-6D112E02F5A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5D8E3D57-7BFC-41AD-86E1-096759DC4B9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596D2F3A-6AE6-4D6A-9D7E-4687ACD1C48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0F0CA148-E79B-4A66-B73C-4FC1C37B8BC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B74C134D-65FE-4216-93DE-E0F55ABE91E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8D566E17-EDF0-4D7B-B9E0-A242458E128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75394AB1-1C3A-4D84-9761-786506A1D53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E6599E99-E7D1-46E7-AD6C-50EFE661DA4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9A59895A-7B90-44A1-918A-7E7E9CFA25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0CF2FB6E-B609-4F26-8803-5535EE6CE4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90F393DE-4224-48BD-B076-FC46DEEC2B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4788EF18-A353-45C7-8B13-2BC3E6498F7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ADC7A001-DB39-4F4F-A756-288F7111043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30719CD6-A154-477C-AAE5-F995FC33694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9EC93A2C-2C65-4E3C-8137-11AD13654EC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BED9858C-84CB-4912-A8DF-EDA61E3C4A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354AC87A-FE86-41CA-B752-28811F194E9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D46E2A09-2304-4CCD-9E1C-95F15772D5B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1D077E3D-534D-4DDB-9473-FE275D5A489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37B632F1-19EC-4378-B5FE-46AB2B454BA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E4219B2D-83A9-4238-A3C3-42A66A93802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3003B39A-8C7E-42DF-9E91-B4C817775CB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5CA8D474-9A7E-4547-AA7C-FD2D5B0DEA4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E14411FE-5500-49E5-935F-1878DE87BC8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DD5782F5-2B4B-45DB-89C7-D6F8ABF0FF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5CED6292-45EE-45AC-AEC0-7BAEA8BF4A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C5746729-F827-4F08-81E3-740AAE4B40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0F0170C1-BDFE-4A07-9918-2C4BE976B2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9B7494F9-01CB-459E-850D-A29D0656EB9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F34B4689-FBB9-44FB-9E0B-2AD802D48C6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7D280CCF-C4EB-4AFC-A9CB-BD766C3E8CC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DFC4396B-54CD-4F0B-964C-6212320D7BBD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D107D519-4B91-48F2-BA51-6CF3227562A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D8315DE7-72AE-4501-84EF-C5C6BE0F711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C690B690-C99F-4F27-9E90-3662583C058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EA17D48E-D016-4C28-B8D3-7621B4A5829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F169C87-5D6A-4D73-8234-1146DCFAE6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09F66428-09CA-4ECB-B656-51A19B31D2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11555613-F94F-4FD1-9C86-D9398FC885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B886D545-C110-44E7-9353-AADA08BE3E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41814C92-6B5E-42B9-9809-D28A23994F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51DB0D26-CF75-4DCE-BA56-835568ED40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EC4A556F-F791-4A6E-B216-0078FC0A1F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A8356741-CE95-4294-BBFF-23363CFBB5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241C6DFB-C32C-471F-B208-8C565827E0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12F4037E-A714-4B45-B619-A659F379CA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10D499AB-AD06-40DC-AD76-72A56BBADA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9C24619E-70D7-4B22-B34B-F6448904B7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5B431DDD-472B-4BD0-8F2E-8A6C92ED67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6E421CF5-FAC2-49F2-8E90-60ED3140B5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6765547F-40DB-42C0-A563-59DE6FCBA9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235F6645-659C-438D-ADFC-5F0DE384392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D75D1219-CDCB-4F5A-A4DC-179F8F6D5B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3FFDD91F-F699-46EA-B942-3469679112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9F727154-0AE3-4727-A83B-D6EE47B5CC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533F9458-68C2-4888-930F-1B7826AB0EE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D185F1FF-4B45-482C-8814-209ED8C7DF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6581B9B6-7730-49EF-94CB-F8E63F8DCA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4DC9394F-C03D-4937-92FB-5FE91F3FA2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D210683F-4D04-47FD-8FAD-D1DAECA28C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7284B793-02EB-4BF1-9C3C-642B79881D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2538E50A-E161-44AD-A5FB-99CB5B0BBF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AD5ECA8F-07BD-4C93-8212-B0A05AE026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67FA5218-E634-4075-81B2-5345DC5FCB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394F39C5-D9FB-4482-B600-B1DC57B2ABD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5F199C6E-045E-4AC9-AF17-769992C688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E27D4D64-E76B-40BD-8154-87808FA404C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00C4F9DE-24EC-469D-9678-22D8869E76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0A7BD02C-DBA5-450C-A804-5A570C8BD0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A3FD4EE4-71F2-4846-B3BE-C115074CBF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B8073AF6-9F12-4E5E-A534-6061629758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F5D68F79-4678-4435-A78A-ED8865DAC0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EF4F9CFC-B743-4E7E-8CD9-B9921666E1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8ECF342B-BCB1-4D49-B311-2B4D192B24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A363FE2B-1468-488D-BAC0-C76FC97129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843087D1-CE83-4C2C-BB58-890EA623B0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D011EACE-A284-4FA9-A266-49BB38002A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D38B708C-D12A-4C90-BB22-CC6FEF8713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8351B23E-9D98-4B61-8E14-317B3CAD96B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177898DC-79E8-45AA-88BE-06D52B6F31D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77FD8C28-E53D-428D-8BD9-B769E26FADE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346190F8-1155-4B18-840F-6C061B9B8A2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E192A1A0-E378-4995-85FE-5E0A201E82C7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DF3C4841-3FAC-4968-B167-9EE42D70399D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D7FCF67C-43F1-4324-832F-32EFFBADA02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93E30324-A8EE-4236-9173-139FB3BC544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4D3F6F07-D5DA-469C-9142-ABD4F197C61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3EF48693-FE7A-4BCD-95F8-B39852507D0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163AFE2E-BD58-4343-9660-8682CAC776E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881AE61B-BBE0-425E-BFFC-13CB77BAA31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96F67B40-1FE5-40AE-AE1C-1BC36A66766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492E24CA-10C4-40C7-B4B8-B909D3FD485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6669B4D6-BE58-4EBC-AB90-E88A40A207D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FE057C78-A5B9-4D56-A415-2DF488E707D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B830A64F-E9F9-41BC-857A-768398F64AC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C52321B1-7EA3-47DD-B45E-C694D7F3938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62026D25-9F6D-4CB3-97C9-64219D45D6B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9B7A1143-C87C-4510-9CB0-8236D8AE7E6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9875B917-64BE-4FF5-8595-B3D105A6687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71AB197B-2C34-4DBC-AC78-D1D200DA5B7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B2F8A220-74AC-4E65-A40D-DCBC3724A3A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55FDC50E-B588-42FF-9A15-250AEB33D2B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7D58C2F2-389A-404B-8262-43C25C689AC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76064CD2-59FA-4854-AF4D-37305856DCE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D0A01602-C961-4C4D-A706-E1597BECF8F6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A8ADA172-42B4-480A-A46A-B2C6B5D91048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745D36A1-D40E-4D9E-8709-965AEB6FAC0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C8437264-B692-4AEC-A547-0CFC0A25A34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D7A12ABC-AB1A-4694-B99E-F4324C4993B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7BA278FE-BF5C-47FE-9ABD-F060CC05A52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7E570C08-BAFB-4EC8-98A6-640301916D7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98A7B72A-FA1B-4644-9FA6-4D57F80A6FF1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49F4B1DA-AF9D-4EB8-8F48-B1ABF78F1904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7610382E-785B-423F-B805-208A80A0ED1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85D80DAF-8D36-4202-B309-67A90AA2D5BC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AB137D75-C59B-4CE3-8C51-B0CC189F3E4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EC850C9D-6306-4AD7-A0AF-06566421FF6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9B9A6302-D760-4F05-B426-89F580DC46E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562E44F6-FF98-47BF-9A42-E4869E81CD4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3C06AF9C-738F-4B7A-B6B9-E5A9BCD10CB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4EF92C04-A056-45D1-B566-E8FC56484818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FA8228B9-EF37-4604-9E04-12DE9C00AAE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760F63DE-9660-491C-BAEA-39D39AE5638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118621E9-7E2E-4784-8AFD-2592FFCFA50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59A9B686-D8FB-4D73-A065-250592F79BE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929CD2B9-627D-4723-A727-2177EDBEE6A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D65B889B-DC1E-4C91-B164-8E25709DC17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E2FC920F-168D-48B5-AE7A-96FAA78E119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C7AF5218-6DA7-4D78-86D4-BB1C478DFBE0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42CEF0C1-24E8-4139-9DC4-9AF9C585CA3E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E4F40E0A-9E57-4B41-8D5A-BD06DCF09E1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EF0840DE-AB3B-4CA1-867E-0E5B3731D3D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2AC2C862-CC11-4A51-A3BC-657CFCF4E2A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9F045796-4B3C-4008-9EB3-3E847599447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AFCF6B76-957A-4F23-A738-CE126D4B382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EF7BC2BA-B8B3-41F5-B2E9-00E16190444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D254A556-F732-4BDF-8045-BE237A2A2382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46E46138-1FC3-4913-9341-67490278CF1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B8CEC4F1-03A5-45A6-B9B9-A06CFE740DEE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24DB3CF8-2EF1-4412-A2A9-A9CF3DF1AB3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<sst xmlns="http://schemas.openxmlformats.org/spreadsheetml/2006/main" count="1102" uniqueCount="271">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</sst>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69688</v>
      </c>
    </row>
    <row r="8" spans="1:3" ht="15" customHeight="1" x14ac:dyDescent="0.25">
      <c r="B8" s="7" t="s">
        <v>106</v>
      </c>
      <c r="C8" s="70">
        <v>8.199999999999999E-2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0.70886222839355495</v>
      </c>
    </row>
    <row r="11" spans="1:3" ht="15" customHeight="1" x14ac:dyDescent="0.25">
      <c r="B11" s="7" t="s">
        <v>108</v>
      </c>
      <c r="C11" s="70">
        <v>0.84900000000000009</v>
      </c>
    </row>
    <row r="12" spans="1:3" ht="15" customHeight="1" x14ac:dyDescent="0.25">
      <c r="B12" s="7" t="s">
        <v>109</v>
      </c>
      <c r="C12" s="70">
        <v>0.74199999999999999</v>
      </c>
    </row>
    <row r="13" spans="1:3" ht="15" customHeight="1" x14ac:dyDescent="0.25">
      <c r="B13" s="7" t="s">
        <v>110</v>
      </c>
      <c r="C13" s="70">
        <v>0.154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7.22E-2</v>
      </c>
    </row>
    <row r="24" spans="1:3" ht="15" customHeight="1" x14ac:dyDescent="0.25">
      <c r="B24" s="20" t="s">
        <v>102</v>
      </c>
      <c r="C24" s="71">
        <v>0.55390000000000006</v>
      </c>
    </row>
    <row r="25" spans="1:3" ht="15" customHeight="1" x14ac:dyDescent="0.25">
      <c r="B25" s="20" t="s">
        <v>103</v>
      </c>
      <c r="C25" s="71">
        <v>0.31579999999999997</v>
      </c>
    </row>
    <row r="26" spans="1:3" ht="15" customHeight="1" x14ac:dyDescent="0.25">
      <c r="B26" s="20" t="s">
        <v>104</v>
      </c>
      <c r="C26" s="71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16.899999999999999</v>
      </c>
    </row>
    <row r="38" spans="1:5" ht="15" customHeight="1" x14ac:dyDescent="0.25">
      <c r="B38" s="16" t="s">
        <v>91</v>
      </c>
      <c r="C38" s="75">
        <v>25.6</v>
      </c>
      <c r="D38" s="17"/>
      <c r="E38" s="18"/>
    </row>
    <row r="39" spans="1:5" ht="15" customHeight="1" x14ac:dyDescent="0.25">
      <c r="B39" s="16" t="s">
        <v>90</v>
      </c>
      <c r="C39" s="75">
        <v>30.8</v>
      </c>
      <c r="D39" s="17"/>
      <c r="E39" s="17"/>
    </row>
    <row r="40" spans="1:5" ht="15" customHeight="1" x14ac:dyDescent="0.25">
      <c r="B40" s="16" t="s">
        <v>171</v>
      </c>
      <c r="C40" s="75">
        <v>1.48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2.2400000000000003E-2</v>
      </c>
      <c r="D45" s="17"/>
    </row>
    <row r="46" spans="1:5" ht="15.75" customHeight="1" x14ac:dyDescent="0.25">
      <c r="B46" s="16" t="s">
        <v>11</v>
      </c>
      <c r="C46" s="71">
        <v>7.9199999999999993E-2</v>
      </c>
      <c r="D46" s="17"/>
    </row>
    <row r="47" spans="1:5" ht="15.75" customHeight="1" x14ac:dyDescent="0.25">
      <c r="B47" s="16" t="s">
        <v>12</v>
      </c>
      <c r="C47" s="71">
        <v>0.1946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1.7864121467975</v>
      </c>
      <c r="D51" s="17"/>
    </row>
    <row r="52" spans="1:4" ht="15" customHeight="1" x14ac:dyDescent="0.25">
      <c r="B52" s="16" t="s">
        <v>125</v>
      </c>
      <c r="C52" s="76">
        <v>1.531278605</v>
      </c>
    </row>
    <row r="53" spans="1:4" ht="15.75" customHeight="1" x14ac:dyDescent="0.25">
      <c r="B53" s="16" t="s">
        <v>126</v>
      </c>
      <c r="C53" s="76">
        <v>1.531278605</v>
      </c>
    </row>
    <row r="54" spans="1:4" ht="15.75" customHeight="1" x14ac:dyDescent="0.25">
      <c r="B54" s="16" t="s">
        <v>127</v>
      </c>
      <c r="C54" s="76">
        <v>1.25625785399</v>
      </c>
    </row>
    <row r="55" spans="1:4" ht="15.75" customHeight="1" x14ac:dyDescent="0.25">
      <c r="B55" s="16" t="s">
        <v>128</v>
      </c>
      <c r="C55" s="76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0.43762270029210482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49.287869290922437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39.684198983342796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277.35471353022353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1.1633680590126974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1.2836646978246877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1.2836646978246877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1.2836646978246877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1.2836646978246877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12.816498427138704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12.816498427138704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0.52326422703405329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0.88700000000000001</v>
      </c>
      <c r="C18" s="85">
        <v>0.95</v>
      </c>
      <c r="D18" s="87">
        <v>6.4352685672608949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6.4352685672608949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6.4352685672608949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11.985155491425509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22.014584291522841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4.1570370268154289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18.471268288136731</v>
      </c>
      <c r="E24" s="86" t="s">
        <v>202</v>
      </c>
    </row>
    <row r="25" spans="1:5" ht="15.75" customHeight="1" x14ac:dyDescent="0.25">
      <c r="A25" s="52" t="s">
        <v>87</v>
      </c>
      <c r="B25" s="85">
        <v>0.55600000000000005</v>
      </c>
      <c r="C25" s="85">
        <v>0.95</v>
      </c>
      <c r="D25" s="86">
        <v>18.400074464012974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4.77870091584475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5.9817695327732272</v>
      </c>
      <c r="E27" s="86" t="s">
        <v>202</v>
      </c>
    </row>
    <row r="28" spans="1:5" ht="15.75" customHeight="1" x14ac:dyDescent="0.25">
      <c r="A28" s="52" t="s">
        <v>84</v>
      </c>
      <c r="B28" s="85">
        <v>0.60899999999999999</v>
      </c>
      <c r="C28" s="85">
        <v>0.95</v>
      </c>
      <c r="D28" s="86">
        <v>0.99290170219342577</v>
      </c>
      <c r="E28" s="86" t="s">
        <v>202</v>
      </c>
    </row>
    <row r="29" spans="1:5" ht="15.75" customHeight="1" x14ac:dyDescent="0.25">
      <c r="A29" s="52" t="s">
        <v>58</v>
      </c>
      <c r="B29" s="85">
        <v>0.88700000000000001</v>
      </c>
      <c r="C29" s="85">
        <v>0.95</v>
      </c>
      <c r="D29" s="86">
        <v>93.696773026618672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1.5479984877076829</v>
      </c>
      <c r="E30" s="86" t="s">
        <v>202</v>
      </c>
    </row>
    <row r="31" spans="1:5" ht="15.75" customHeight="1" x14ac:dyDescent="0.25">
      <c r="A31" s="52" t="s">
        <v>28</v>
      </c>
      <c r="B31" s="85">
        <v>0.45</v>
      </c>
      <c r="C31" s="85">
        <v>0.95</v>
      </c>
      <c r="D31" s="86">
        <v>1.1034095765662737</v>
      </c>
      <c r="E31" s="86" t="s">
        <v>202</v>
      </c>
    </row>
    <row r="32" spans="1:5" ht="15.75" customHeight="1" x14ac:dyDescent="0.25">
      <c r="A32" s="52" t="s">
        <v>83</v>
      </c>
      <c r="B32" s="85">
        <v>0.79400000000000004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0.57499999999999996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0.504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0.58200000000000007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8.0000000000000002E-3</v>
      </c>
      <c r="C37" s="85">
        <v>0.95</v>
      </c>
      <c r="D37" s="86">
        <v>2.4706285348208588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1.1245246609522135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0.17470753040000003</v>
      </c>
      <c r="C3" s="26">
        <f>frac_mam_1_5months * 2.6</f>
        <v>0.17470753040000003</v>
      </c>
      <c r="D3" s="26">
        <f>frac_mam_6_11months * 2.6</f>
        <v>0.17356334579999999</v>
      </c>
      <c r="E3" s="26">
        <f>frac_mam_12_23months * 2.6</f>
        <v>0.1075998014</v>
      </c>
      <c r="F3" s="26">
        <f>frac_mam_24_59months * 2.6</f>
        <v>7.3051589606666661E-2</v>
      </c>
    </row>
    <row r="4" spans="1:6" ht="15.75" customHeight="1" x14ac:dyDescent="0.25">
      <c r="A4" s="3" t="s">
        <v>66</v>
      </c>
      <c r="B4" s="26">
        <f>frac_sam_1month * 2.6</f>
        <v>0.21823085960000002</v>
      </c>
      <c r="C4" s="26">
        <f>frac_sam_1_5months * 2.6</f>
        <v>0.21823085960000002</v>
      </c>
      <c r="D4" s="26">
        <f>frac_sam_6_11months * 2.6</f>
        <v>8.5625121400000004E-2</v>
      </c>
      <c r="E4" s="26">
        <f>frac_sam_12_23months * 2.6</f>
        <v>5.3151802600000006E-2</v>
      </c>
      <c r="F4" s="26">
        <f>frac_sam_24_59months * 2.6</f>
        <v>2.3877443459999998E-2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14439.259190000001</v>
      </c>
      <c r="C2" s="78">
        <v>36554</v>
      </c>
      <c r="D2" s="78">
        <v>78212</v>
      </c>
      <c r="E2" s="78">
        <v>62884</v>
      </c>
      <c r="F2" s="78">
        <v>42241</v>
      </c>
      <c r="G2" s="22">
        <f t="shared" ref="G2:G40" si="0">C2+D2+E2+F2</f>
        <v>219891</v>
      </c>
      <c r="H2" s="22">
        <f t="shared" ref="H2:H40" si="1">(B2 + stillbirth*B2/(1000-stillbirth))/(1-abortion)</f>
        <v>16866.71711755911</v>
      </c>
      <c r="I2" s="22">
        <f>G2-H2</f>
        <v>203024.28288244089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14349.788</v>
      </c>
      <c r="C3" s="78">
        <v>36000</v>
      </c>
      <c r="D3" s="78">
        <v>77000</v>
      </c>
      <c r="E3" s="78">
        <v>65000</v>
      </c>
      <c r="F3" s="78">
        <v>44000</v>
      </c>
      <c r="G3" s="22">
        <f t="shared" si="0"/>
        <v>222000</v>
      </c>
      <c r="H3" s="22">
        <f t="shared" si="1"/>
        <v>16762.204466872256</v>
      </c>
      <c r="I3" s="22">
        <f t="shared" ref="I3:I15" si="3">G3-H3</f>
        <v>205237.79553312773</v>
      </c>
    </row>
    <row r="4" spans="1:9" ht="15.75" customHeight="1" x14ac:dyDescent="0.25">
      <c r="A4" s="7">
        <f t="shared" si="2"/>
        <v>2019</v>
      </c>
      <c r="B4" s="77">
        <v>14247.673999999997</v>
      </c>
      <c r="C4" s="78">
        <v>36000</v>
      </c>
      <c r="D4" s="78">
        <v>77000</v>
      </c>
      <c r="E4" s="78">
        <v>68000</v>
      </c>
      <c r="F4" s="78">
        <v>45000</v>
      </c>
      <c r="G4" s="22">
        <f t="shared" si="0"/>
        <v>226000</v>
      </c>
      <c r="H4" s="22">
        <f t="shared" si="1"/>
        <v>16642.923558545928</v>
      </c>
      <c r="I4" s="22">
        <f t="shared" si="3"/>
        <v>209357.07644145406</v>
      </c>
    </row>
    <row r="5" spans="1:9" ht="15.75" customHeight="1" x14ac:dyDescent="0.25">
      <c r="A5" s="7">
        <f t="shared" si="2"/>
        <v>2020</v>
      </c>
      <c r="B5" s="77">
        <v>14139.89</v>
      </c>
      <c r="C5" s="78">
        <v>35000</v>
      </c>
      <c r="D5" s="78">
        <v>76000</v>
      </c>
      <c r="E5" s="78">
        <v>70000</v>
      </c>
      <c r="F5" s="78">
        <v>47000</v>
      </c>
      <c r="G5" s="22">
        <f t="shared" si="0"/>
        <v>228000</v>
      </c>
      <c r="H5" s="22">
        <f t="shared" si="1"/>
        <v>16517.019437435752</v>
      </c>
      <c r="I5" s="22">
        <f t="shared" si="3"/>
        <v>211482.98056256425</v>
      </c>
    </row>
    <row r="6" spans="1:9" ht="15.75" customHeight="1" x14ac:dyDescent="0.25">
      <c r="A6" s="7">
        <f t="shared" si="2"/>
        <v>2021</v>
      </c>
      <c r="B6" s="77">
        <v>13988.287200000001</v>
      </c>
      <c r="C6" s="78">
        <v>35000</v>
      </c>
      <c r="D6" s="78">
        <v>76000</v>
      </c>
      <c r="E6" s="78">
        <v>72000</v>
      </c>
      <c r="F6" s="78">
        <v>48000</v>
      </c>
      <c r="G6" s="22">
        <f t="shared" si="0"/>
        <v>231000</v>
      </c>
      <c r="H6" s="22">
        <f t="shared" si="1"/>
        <v>16339.929913092235</v>
      </c>
      <c r="I6" s="22">
        <f t="shared" si="3"/>
        <v>214660.07008690777</v>
      </c>
    </row>
    <row r="7" spans="1:9" ht="15.75" customHeight="1" x14ac:dyDescent="0.25">
      <c r="A7" s="7">
        <f t="shared" si="2"/>
        <v>2022</v>
      </c>
      <c r="B7" s="77">
        <v>13830.200800000002</v>
      </c>
      <c r="C7" s="78">
        <v>35000</v>
      </c>
      <c r="D7" s="78">
        <v>74000</v>
      </c>
      <c r="E7" s="78">
        <v>73000</v>
      </c>
      <c r="F7" s="78">
        <v>49000</v>
      </c>
      <c r="G7" s="22">
        <f t="shared" si="0"/>
        <v>231000</v>
      </c>
      <c r="H7" s="22">
        <f t="shared" si="1"/>
        <v>16155.266797495566</v>
      </c>
      <c r="I7" s="22">
        <f t="shared" si="3"/>
        <v>214844.73320250443</v>
      </c>
    </row>
    <row r="8" spans="1:9" ht="15.75" customHeight="1" x14ac:dyDescent="0.25">
      <c r="A8" s="7">
        <f t="shared" si="2"/>
        <v>2023</v>
      </c>
      <c r="B8" s="77">
        <v>13665.630800000003</v>
      </c>
      <c r="C8" s="78">
        <v>35000</v>
      </c>
      <c r="D8" s="78">
        <v>74000</v>
      </c>
      <c r="E8" s="78">
        <v>75000</v>
      </c>
      <c r="F8" s="78">
        <v>51000</v>
      </c>
      <c r="G8" s="22">
        <f t="shared" si="0"/>
        <v>235000</v>
      </c>
      <c r="H8" s="22">
        <f t="shared" si="1"/>
        <v>15963.030090645738</v>
      </c>
      <c r="I8" s="22">
        <f t="shared" si="3"/>
        <v>219036.96990935426</v>
      </c>
    </row>
    <row r="9" spans="1:9" ht="15.75" customHeight="1" x14ac:dyDescent="0.25">
      <c r="A9" s="7">
        <f t="shared" si="2"/>
        <v>2024</v>
      </c>
      <c r="B9" s="77">
        <v>13479.084000000003</v>
      </c>
      <c r="C9" s="78">
        <v>36000</v>
      </c>
      <c r="D9" s="78">
        <v>72000</v>
      </c>
      <c r="E9" s="78">
        <v>76000</v>
      </c>
      <c r="F9" s="78">
        <v>53000</v>
      </c>
      <c r="G9" s="22">
        <f t="shared" si="0"/>
        <v>237000</v>
      </c>
      <c r="H9" s="22">
        <f t="shared" si="1"/>
        <v>15745.121951219515</v>
      </c>
      <c r="I9" s="22">
        <f t="shared" si="3"/>
        <v>221254.87804878049</v>
      </c>
    </row>
    <row r="10" spans="1:9" ht="15.75" customHeight="1" x14ac:dyDescent="0.25">
      <c r="A10" s="7">
        <f t="shared" si="2"/>
        <v>2025</v>
      </c>
      <c r="B10" s="77">
        <v>13286.773999999999</v>
      </c>
      <c r="C10" s="78">
        <v>36000</v>
      </c>
      <c r="D10" s="78">
        <v>72000</v>
      </c>
      <c r="E10" s="78">
        <v>77000</v>
      </c>
      <c r="F10" s="78">
        <v>56000</v>
      </c>
      <c r="G10" s="22">
        <f t="shared" si="0"/>
        <v>241000</v>
      </c>
      <c r="H10" s="22">
        <f t="shared" si="1"/>
        <v>15520.481730679376</v>
      </c>
      <c r="I10" s="22">
        <f t="shared" si="3"/>
        <v>225479.51826932063</v>
      </c>
    </row>
    <row r="11" spans="1:9" ht="15.75" customHeight="1" x14ac:dyDescent="0.25">
      <c r="A11" s="7">
        <f t="shared" si="2"/>
        <v>2026</v>
      </c>
      <c r="B11" s="77">
        <v>13123.609199999999</v>
      </c>
      <c r="C11" s="78">
        <v>35000</v>
      </c>
      <c r="D11" s="78">
        <v>72000</v>
      </c>
      <c r="E11" s="78">
        <v>77000</v>
      </c>
      <c r="F11" s="78">
        <v>58000</v>
      </c>
      <c r="G11" s="22">
        <f t="shared" si="0"/>
        <v>242000</v>
      </c>
      <c r="H11" s="22">
        <f t="shared" si="1"/>
        <v>15329.88645920942</v>
      </c>
      <c r="I11" s="22">
        <f t="shared" si="3"/>
        <v>226670.11354079057</v>
      </c>
    </row>
    <row r="12" spans="1:9" ht="15.75" customHeight="1" x14ac:dyDescent="0.25">
      <c r="A12" s="7">
        <f t="shared" si="2"/>
        <v>2027</v>
      </c>
      <c r="B12" s="77">
        <v>12940.8202</v>
      </c>
      <c r="C12" s="78">
        <v>35000</v>
      </c>
      <c r="D12" s="78">
        <v>71000</v>
      </c>
      <c r="E12" s="78">
        <v>77000</v>
      </c>
      <c r="F12" s="78">
        <v>61000</v>
      </c>
      <c r="G12" s="22">
        <f t="shared" si="0"/>
        <v>244000</v>
      </c>
      <c r="H12" s="22">
        <f t="shared" si="1"/>
        <v>15116.367862816558</v>
      </c>
      <c r="I12" s="22">
        <f t="shared" si="3"/>
        <v>228883.63213718345</v>
      </c>
    </row>
    <row r="13" spans="1:9" ht="15.75" customHeight="1" x14ac:dyDescent="0.25">
      <c r="A13" s="7">
        <f t="shared" si="2"/>
        <v>2028</v>
      </c>
      <c r="B13" s="77">
        <v>12753.539999999997</v>
      </c>
      <c r="C13" s="78">
        <v>35000</v>
      </c>
      <c r="D13" s="78">
        <v>71000</v>
      </c>
      <c r="E13" s="78">
        <v>77000</v>
      </c>
      <c r="F13" s="78">
        <v>63000</v>
      </c>
      <c r="G13" s="22">
        <f t="shared" si="0"/>
        <v>246000</v>
      </c>
      <c r="H13" s="22">
        <f t="shared" si="1"/>
        <v>14897.603027754412</v>
      </c>
      <c r="I13" s="22">
        <f t="shared" si="3"/>
        <v>231102.39697224559</v>
      </c>
    </row>
    <row r="14" spans="1:9" ht="15.75" customHeight="1" x14ac:dyDescent="0.25">
      <c r="A14" s="7">
        <f t="shared" si="2"/>
        <v>2029</v>
      </c>
      <c r="B14" s="77">
        <v>12561.768599999998</v>
      </c>
      <c r="C14" s="78">
        <v>34000</v>
      </c>
      <c r="D14" s="78">
        <v>70000</v>
      </c>
      <c r="E14" s="78">
        <v>75000</v>
      </c>
      <c r="F14" s="78">
        <v>65000</v>
      </c>
      <c r="G14" s="22">
        <f t="shared" si="0"/>
        <v>244000</v>
      </c>
      <c r="H14" s="22">
        <f t="shared" si="1"/>
        <v>14673.591954022986</v>
      </c>
      <c r="I14" s="22">
        <f t="shared" si="3"/>
        <v>229326.408045977</v>
      </c>
    </row>
    <row r="15" spans="1:9" ht="15.75" customHeight="1" x14ac:dyDescent="0.25">
      <c r="A15" s="7">
        <f t="shared" si="2"/>
        <v>2030</v>
      </c>
      <c r="B15" s="77">
        <v>12365.505999999999</v>
      </c>
      <c r="C15" s="78">
        <v>34000</v>
      </c>
      <c r="D15" s="78">
        <v>70000</v>
      </c>
      <c r="E15" s="78">
        <v>75000</v>
      </c>
      <c r="F15" s="78">
        <v>67000</v>
      </c>
      <c r="G15" s="22">
        <f t="shared" si="0"/>
        <v>246000</v>
      </c>
      <c r="H15" s="22">
        <f t="shared" si="1"/>
        <v>14444.334641622279</v>
      </c>
      <c r="I15" s="22">
        <f t="shared" si="3"/>
        <v>231555.66535837771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128.4926642369872</v>
      </c>
      <c r="I17" s="22">
        <f t="shared" si="4"/>
        <v>-128.4926642369872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9.7099652500000008E-3</v>
      </c>
    </row>
    <row r="4" spans="1:8" ht="15.75" customHeight="1" x14ac:dyDescent="0.25">
      <c r="B4" s="24" t="s">
        <v>7</v>
      </c>
      <c r="C4" s="79">
        <v>0.10121404692222738</v>
      </c>
    </row>
    <row r="5" spans="1:8" ht="15.75" customHeight="1" x14ac:dyDescent="0.25">
      <c r="B5" s="24" t="s">
        <v>8</v>
      </c>
      <c r="C5" s="79">
        <v>0.15605744947835476</v>
      </c>
    </row>
    <row r="6" spans="1:8" ht="15.75" customHeight="1" x14ac:dyDescent="0.25">
      <c r="B6" s="24" t="s">
        <v>10</v>
      </c>
      <c r="C6" s="79">
        <v>0.11745605391055733</v>
      </c>
    </row>
    <row r="7" spans="1:8" ht="15.75" customHeight="1" x14ac:dyDescent="0.25">
      <c r="B7" s="24" t="s">
        <v>13</v>
      </c>
      <c r="C7" s="79">
        <v>0.21697653213164325</v>
      </c>
    </row>
    <row r="8" spans="1:8" ht="15.75" customHeight="1" x14ac:dyDescent="0.25">
      <c r="B8" s="24" t="s">
        <v>14</v>
      </c>
      <c r="C8" s="79">
        <v>4.1722034127874997E-3</v>
      </c>
    </row>
    <row r="9" spans="1:8" ht="15.75" customHeight="1" x14ac:dyDescent="0.25">
      <c r="B9" s="24" t="s">
        <v>27</v>
      </c>
      <c r="C9" s="79">
        <v>0.12174788640361456</v>
      </c>
    </row>
    <row r="10" spans="1:8" ht="15.75" customHeight="1" x14ac:dyDescent="0.25">
      <c r="B10" s="24" t="s">
        <v>15</v>
      </c>
      <c r="C10" s="79">
        <v>0.27266586249081526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4.9428357362996903E-2</v>
      </c>
      <c r="D14" s="79">
        <v>4.9428357362996903E-2</v>
      </c>
      <c r="E14" s="79">
        <v>2.8183966709827701E-2</v>
      </c>
      <c r="F14" s="79">
        <v>2.8183966709827701E-2</v>
      </c>
    </row>
    <row r="15" spans="1:8" ht="15.75" customHeight="1" x14ac:dyDescent="0.25">
      <c r="B15" s="24" t="s">
        <v>16</v>
      </c>
      <c r="C15" s="79">
        <v>0.30262967445634797</v>
      </c>
      <c r="D15" s="79">
        <v>0.30262967445634797</v>
      </c>
      <c r="E15" s="79">
        <v>0.128701037829759</v>
      </c>
      <c r="F15" s="79">
        <v>0.128701037829759</v>
      </c>
    </row>
    <row r="16" spans="1:8" ht="15.75" customHeight="1" x14ac:dyDescent="0.25">
      <c r="B16" s="24" t="s">
        <v>17</v>
      </c>
      <c r="C16" s="79">
        <v>3.1411056484682197E-2</v>
      </c>
      <c r="D16" s="79">
        <v>3.1411056484682197E-2</v>
      </c>
      <c r="E16" s="79">
        <v>3.40208276190615E-2</v>
      </c>
      <c r="F16" s="79">
        <v>3.40208276190615E-2</v>
      </c>
    </row>
    <row r="17" spans="1:8" ht="15.75" customHeight="1" x14ac:dyDescent="0.25">
      <c r="B17" s="24" t="s">
        <v>18</v>
      </c>
      <c r="C17" s="79">
        <v>1.6854303824401201E-2</v>
      </c>
      <c r="D17" s="79">
        <v>1.6854303824401201E-2</v>
      </c>
      <c r="E17" s="79">
        <v>5.3643444506304802E-2</v>
      </c>
      <c r="F17" s="79">
        <v>5.3643444506304802E-2</v>
      </c>
    </row>
    <row r="18" spans="1:8" ht="15.75" customHeight="1" x14ac:dyDescent="0.25">
      <c r="B18" s="24" t="s">
        <v>19</v>
      </c>
      <c r="C18" s="79">
        <v>3.1947057038953501E-2</v>
      </c>
      <c r="D18" s="79">
        <v>3.1947057038953501E-2</v>
      </c>
      <c r="E18" s="79">
        <v>5.3850451080452298E-2</v>
      </c>
      <c r="F18" s="79">
        <v>5.3850451080452298E-2</v>
      </c>
    </row>
    <row r="19" spans="1:8" ht="15.75" customHeight="1" x14ac:dyDescent="0.25">
      <c r="B19" s="24" t="s">
        <v>20</v>
      </c>
      <c r="C19" s="79">
        <v>5.1065863533198497E-3</v>
      </c>
      <c r="D19" s="79">
        <v>5.1065863533198497E-3</v>
      </c>
      <c r="E19" s="79">
        <v>6.8993743291836896E-3</v>
      </c>
      <c r="F19" s="79">
        <v>6.8993743291836896E-3</v>
      </c>
    </row>
    <row r="20" spans="1:8" ht="15.75" customHeight="1" x14ac:dyDescent="0.25">
      <c r="B20" s="24" t="s">
        <v>21</v>
      </c>
      <c r="C20" s="79">
        <v>1.2383728434444701E-2</v>
      </c>
      <c r="D20" s="79">
        <v>1.2383728434444701E-2</v>
      </c>
      <c r="E20" s="79">
        <v>7.9685860661078994E-2</v>
      </c>
      <c r="F20" s="79">
        <v>7.9685860661078994E-2</v>
      </c>
    </row>
    <row r="21" spans="1:8" ht="15.75" customHeight="1" x14ac:dyDescent="0.25">
      <c r="B21" s="24" t="s">
        <v>22</v>
      </c>
      <c r="C21" s="79">
        <v>7.6675718321062694E-2</v>
      </c>
      <c r="D21" s="79">
        <v>7.6675718321062694E-2</v>
      </c>
      <c r="E21" s="79">
        <v>0.179913402218223</v>
      </c>
      <c r="F21" s="79">
        <v>0.179913402218223</v>
      </c>
    </row>
    <row r="22" spans="1:8" ht="15.75" customHeight="1" x14ac:dyDescent="0.25">
      <c r="B22" s="24" t="s">
        <v>23</v>
      </c>
      <c r="C22" s="79">
        <v>0.47356351772379102</v>
      </c>
      <c r="D22" s="79">
        <v>0.47356351772379102</v>
      </c>
      <c r="E22" s="79">
        <v>0.43510163504610899</v>
      </c>
      <c r="F22" s="79">
        <v>0.43510163504610899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2.0400000000000001E-2</v>
      </c>
    </row>
    <row r="27" spans="1:8" ht="15.75" customHeight="1" x14ac:dyDescent="0.25">
      <c r="B27" s="24" t="s">
        <v>39</v>
      </c>
      <c r="C27" s="79">
        <v>1.21E-2</v>
      </c>
    </row>
    <row r="28" spans="1:8" ht="15.75" customHeight="1" x14ac:dyDescent="0.25">
      <c r="B28" s="24" t="s">
        <v>40</v>
      </c>
      <c r="C28" s="79">
        <v>0.20649999999999999</v>
      </c>
    </row>
    <row r="29" spans="1:8" ht="15.75" customHeight="1" x14ac:dyDescent="0.25">
      <c r="B29" s="24" t="s">
        <v>41</v>
      </c>
      <c r="C29" s="79">
        <v>0.14580000000000001</v>
      </c>
    </row>
    <row r="30" spans="1:8" ht="15.75" customHeight="1" x14ac:dyDescent="0.25">
      <c r="B30" s="24" t="s">
        <v>42</v>
      </c>
      <c r="C30" s="79">
        <v>4.9000000000000002E-2</v>
      </c>
    </row>
    <row r="31" spans="1:8" ht="15.75" customHeight="1" x14ac:dyDescent="0.25">
      <c r="B31" s="24" t="s">
        <v>43</v>
      </c>
      <c r="C31" s="79">
        <v>9.2799999999999994E-2</v>
      </c>
    </row>
    <row r="32" spans="1:8" ht="15.75" customHeight="1" x14ac:dyDescent="0.25">
      <c r="B32" s="24" t="s">
        <v>44</v>
      </c>
      <c r="C32" s="79">
        <v>1.09E-2</v>
      </c>
    </row>
    <row r="33" spans="2:3" ht="15.75" customHeight="1" x14ac:dyDescent="0.25">
      <c r="B33" s="24" t="s">
        <v>45</v>
      </c>
      <c r="C33" s="79">
        <v>0.3715</v>
      </c>
    </row>
    <row r="34" spans="2:3" ht="15.75" customHeight="1" x14ac:dyDescent="0.25">
      <c r="B34" s="24" t="s">
        <v>46</v>
      </c>
      <c r="C34" s="79">
        <v>9.1000000002235168E-2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0.67555701373460408</v>
      </c>
      <c r="D2" s="80">
        <v>0.67555701373460408</v>
      </c>
      <c r="E2" s="80">
        <v>0.66518421200192646</v>
      </c>
      <c r="F2" s="80">
        <v>0.37930480560688296</v>
      </c>
      <c r="G2" s="80">
        <v>0.2736920283973906</v>
      </c>
    </row>
    <row r="3" spans="1:15" ht="15.75" customHeight="1" x14ac:dyDescent="0.25">
      <c r="A3" s="5"/>
      <c r="B3" s="11" t="s">
        <v>118</v>
      </c>
      <c r="C3" s="80">
        <v>0.11375701560671325</v>
      </c>
      <c r="D3" s="80">
        <v>0.11375701560671325</v>
      </c>
      <c r="E3" s="80">
        <v>0.12412981733939084</v>
      </c>
      <c r="F3" s="80">
        <v>0.26052251121946435</v>
      </c>
      <c r="G3" s="80">
        <v>0.34707322441698074</v>
      </c>
    </row>
    <row r="4" spans="1:15" ht="15.75" customHeight="1" x14ac:dyDescent="0.25">
      <c r="A4" s="5"/>
      <c r="B4" s="11" t="s">
        <v>116</v>
      </c>
      <c r="C4" s="81">
        <v>0.11537565059880239</v>
      </c>
      <c r="D4" s="81">
        <v>0.11537565059880239</v>
      </c>
      <c r="E4" s="81">
        <v>0.11537565059880239</v>
      </c>
      <c r="F4" s="81">
        <v>0.21369577023952097</v>
      </c>
      <c r="G4" s="81">
        <v>0.23275783425149699</v>
      </c>
    </row>
    <row r="5" spans="1:15" ht="15.75" customHeight="1" x14ac:dyDescent="0.25">
      <c r="A5" s="5"/>
      <c r="B5" s="11" t="s">
        <v>119</v>
      </c>
      <c r="C5" s="81">
        <v>9.5310320059880244E-2</v>
      </c>
      <c r="D5" s="81">
        <v>9.5310320059880244E-2</v>
      </c>
      <c r="E5" s="81">
        <v>9.5310320059880244E-2</v>
      </c>
      <c r="F5" s="81">
        <v>0.1464769129341317</v>
      </c>
      <c r="G5" s="81">
        <v>0.1464769129341317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0.68589483757361602</v>
      </c>
      <c r="D8" s="80">
        <v>0.68589483757361602</v>
      </c>
      <c r="E8" s="80">
        <v>0.72725213006222222</v>
      </c>
      <c r="F8" s="80">
        <v>0.78014341023454148</v>
      </c>
      <c r="G8" s="80">
        <v>0.82347087761914672</v>
      </c>
    </row>
    <row r="9" spans="1:15" ht="15.75" customHeight="1" x14ac:dyDescent="0.25">
      <c r="B9" s="7" t="s">
        <v>121</v>
      </c>
      <c r="C9" s="80">
        <v>0.16297501242638399</v>
      </c>
      <c r="D9" s="80">
        <v>0.16297501242638399</v>
      </c>
      <c r="E9" s="80">
        <v>0.17305999793777779</v>
      </c>
      <c r="F9" s="80">
        <v>0.15802904976545842</v>
      </c>
      <c r="G9" s="80">
        <v>0.13924872504751995</v>
      </c>
    </row>
    <row r="10" spans="1:15" ht="15.75" customHeight="1" x14ac:dyDescent="0.25">
      <c r="B10" s="7" t="s">
        <v>122</v>
      </c>
      <c r="C10" s="81">
        <v>6.7195204000000008E-2</v>
      </c>
      <c r="D10" s="81">
        <v>6.7195204000000008E-2</v>
      </c>
      <c r="E10" s="81">
        <v>6.6755132999999994E-2</v>
      </c>
      <c r="F10" s="81">
        <v>4.1384538999999998E-2</v>
      </c>
      <c r="G10" s="81">
        <v>2.8096765233333331E-2</v>
      </c>
    </row>
    <row r="11" spans="1:15" ht="15.75" customHeight="1" x14ac:dyDescent="0.25">
      <c r="B11" s="7" t="s">
        <v>123</v>
      </c>
      <c r="C11" s="81">
        <v>8.393494600000001E-2</v>
      </c>
      <c r="D11" s="81">
        <v>8.393494600000001E-2</v>
      </c>
      <c r="E11" s="81">
        <v>3.2932739000000003E-2</v>
      </c>
      <c r="F11" s="81">
        <v>2.0443001000000002E-2</v>
      </c>
      <c r="G11" s="81">
        <v>9.1836320999999985E-3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0.92247155925000002</v>
      </c>
      <c r="D14" s="82">
        <v>0.91737426694000002</v>
      </c>
      <c r="E14" s="82">
        <v>0.91737426694000002</v>
      </c>
      <c r="F14" s="82">
        <v>0.84381044781000003</v>
      </c>
      <c r="G14" s="82">
        <v>0.84381044781000003</v>
      </c>
      <c r="H14" s="83">
        <v>0.32799999999999996</v>
      </c>
      <c r="I14" s="83">
        <v>0.32799999999999996</v>
      </c>
      <c r="J14" s="83">
        <v>0.32799999999999996</v>
      </c>
      <c r="K14" s="83">
        <v>0.32799999999999996</v>
      </c>
      <c r="L14" s="83">
        <v>0.37431299374600002</v>
      </c>
      <c r="M14" s="83">
        <v>0.31906522595999998</v>
      </c>
      <c r="N14" s="83">
        <v>0.3056146214905</v>
      </c>
      <c r="O14" s="83">
        <v>0.38514082029149999</v>
      </c>
    </row>
    <row r="15" spans="1:15" ht="15.75" customHeight="1" x14ac:dyDescent="0.25">
      <c r="B15" s="16" t="s">
        <v>68</v>
      </c>
      <c r="C15" s="80">
        <f>iron_deficiency_anaemia*C14</f>
        <v>0.40369449470165336</v>
      </c>
      <c r="D15" s="80">
        <f t="shared" ref="D15:O15" si="0">iron_deficiency_anaemia*D14</f>
        <v>0.401463803876773</v>
      </c>
      <c r="E15" s="80">
        <f t="shared" si="0"/>
        <v>0.401463803876773</v>
      </c>
      <c r="F15" s="80">
        <f t="shared" si="0"/>
        <v>0.36927060670530237</v>
      </c>
      <c r="G15" s="80">
        <f t="shared" si="0"/>
        <v>0.36927060670530237</v>
      </c>
      <c r="H15" s="80">
        <f t="shared" si="0"/>
        <v>0.14354024569581036</v>
      </c>
      <c r="I15" s="80">
        <f t="shared" si="0"/>
        <v>0.14354024569581036</v>
      </c>
      <c r="J15" s="80">
        <f t="shared" si="0"/>
        <v>0.14354024569581036</v>
      </c>
      <c r="K15" s="80">
        <f t="shared" si="0"/>
        <v>0.14354024569581036</v>
      </c>
      <c r="L15" s="80">
        <f t="shared" si="0"/>
        <v>0.16380786307754627</v>
      </c>
      <c r="M15" s="80">
        <f t="shared" si="0"/>
        <v>0.13963018575392577</v>
      </c>
      <c r="N15" s="80">
        <f t="shared" si="0"/>
        <v>0.13374389590542213</v>
      </c>
      <c r="O15" s="80">
        <f t="shared" si="0"/>
        <v>0.16854636576868251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0.71499999999999997</v>
      </c>
      <c r="D2" s="81">
        <v>0.439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</v>
      </c>
      <c r="D3" s="81">
        <v>0.184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0.13200000000000001</v>
      </c>
      <c r="D4" s="81">
        <v>0.373</v>
      </c>
      <c r="E4" s="81">
        <v>0.98599999999999999</v>
      </c>
      <c r="F4" s="81">
        <v>0.80400000000000005</v>
      </c>
      <c r="G4" s="81">
        <v>0</v>
      </c>
    </row>
    <row r="5" spans="1:7" x14ac:dyDescent="0.25">
      <c r="B5" s="43" t="s">
        <v>169</v>
      </c>
      <c r="C5" s="80">
        <f>1-SUM(C2:C4)</f>
        <v>3.0000000000000027E-3</v>
      </c>
      <c r="D5" s="80">
        <f>1-SUM(D2:D4)</f>
        <v>4.0000000000000036E-3</v>
      </c>
      <c r="E5" s="80">
        <f>1-SUM(E2:E4)</f>
        <v>1.4000000000000012E-2</v>
      </c>
      <c r="F5" s="80">
        <f>1-SUM(F2:F4)</f>
        <v>0.19599999999999995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0.32097999999999999</v>
      </c>
      <c r="D2" s="144">
        <v>0.31230000000000002</v>
      </c>
      <c r="E2" s="144">
        <v>0.30363000000000001</v>
      </c>
      <c r="F2" s="144">
        <v>0.29518</v>
      </c>
      <c r="G2" s="144">
        <v>0.28684999999999999</v>
      </c>
      <c r="H2" s="144">
        <v>0.27873999999999999</v>
      </c>
      <c r="I2" s="144">
        <v>0.27082999999999996</v>
      </c>
      <c r="J2" s="144">
        <v>0.26318000000000003</v>
      </c>
      <c r="K2" s="144">
        <v>0.25574999999999998</v>
      </c>
      <c r="L2" s="144">
        <v>0.24856999999999999</v>
      </c>
      <c r="M2" s="144">
        <v>0.24163000000000001</v>
      </c>
      <c r="N2" s="144">
        <v>0.23488000000000001</v>
      </c>
      <c r="O2" s="144">
        <v>0.22827999999999998</v>
      </c>
      <c r="P2" s="144">
        <v>0.22183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3.7589999999999998E-2</v>
      </c>
      <c r="D4" s="144">
        <v>3.7240000000000002E-2</v>
      </c>
      <c r="E4" s="144">
        <v>3.6900000000000002E-2</v>
      </c>
      <c r="F4" s="144">
        <v>3.6580000000000001E-2</v>
      </c>
      <c r="G4" s="144">
        <v>3.6260000000000001E-2</v>
      </c>
      <c r="H4" s="144">
        <v>3.5959999999999999E-2</v>
      </c>
      <c r="I4" s="144">
        <v>3.567E-2</v>
      </c>
      <c r="J4" s="144">
        <v>3.5400000000000001E-2</v>
      </c>
      <c r="K4" s="144">
        <v>3.5130000000000002E-2</v>
      </c>
      <c r="L4" s="144">
        <v>3.4869999999999998E-2</v>
      </c>
      <c r="M4" s="144">
        <v>3.4620000000000005E-2</v>
      </c>
      <c r="N4" s="144">
        <v>3.4390000000000004E-2</v>
      </c>
      <c r="O4" s="144">
        <v>3.4169999999999999E-2</v>
      </c>
      <c r="P4" s="144">
        <v>3.3950000000000001E-2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0.37574642432001115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0.14354024569581036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0.14966410827622958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0.48499999999999993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0.86466666666666681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29.300999999999998</v>
      </c>
      <c r="D13" s="143">
        <v>26.773</v>
      </c>
      <c r="E13" s="143">
        <v>25.527000000000001</v>
      </c>
      <c r="F13" s="143">
        <v>24.358000000000001</v>
      </c>
      <c r="G13" s="143">
        <v>23.3</v>
      </c>
      <c r="H13" s="143">
        <v>22.314</v>
      </c>
      <c r="I13" s="143">
        <v>21.405000000000001</v>
      </c>
      <c r="J13" s="143">
        <v>20.558</v>
      </c>
      <c r="K13" s="143">
        <v>19.748000000000001</v>
      </c>
      <c r="L13" s="143">
        <v>18.983000000000001</v>
      </c>
      <c r="M13" s="143">
        <v>18.279</v>
      </c>
      <c r="N13" s="143">
        <v>17.579999999999998</v>
      </c>
      <c r="O13" s="143">
        <v>16.949000000000002</v>
      </c>
      <c r="P13" s="143">
        <v>16.347000000000001</v>
      </c>
    </row>
    <row r="14" spans="1:16" x14ac:dyDescent="0.25">
      <c r="B14" s="16" t="s">
        <v>170</v>
      </c>
      <c r="C14" s="143">
        <f>maternal_mortality</f>
        <v>1.48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8.199999999999999E-2</v>
      </c>
      <c r="E2" s="92">
        <f>food_insecure</f>
        <v>8.199999999999999E-2</v>
      </c>
      <c r="F2" s="92">
        <f>food_insecure</f>
        <v>8.199999999999999E-2</v>
      </c>
      <c r="G2" s="92">
        <f>food_insecure</f>
        <v>8.199999999999999E-2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8.199999999999999E-2</v>
      </c>
      <c r="F5" s="92">
        <f>food_insecure</f>
        <v>8.199999999999999E-2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6.870815949221154E-2</v>
      </c>
      <c r="D7" s="92">
        <f>diarrhoea_1_5mo/26</f>
        <v>5.8895330961538463E-2</v>
      </c>
      <c r="E7" s="92">
        <f>diarrhoea_6_11mo/26</f>
        <v>5.8895330961538463E-2</v>
      </c>
      <c r="F7" s="92">
        <f>diarrhoea_12_23mo/26</f>
        <v>4.8317609768846151E-2</v>
      </c>
      <c r="G7" s="92">
        <f>diarrhoea_24_59mo/26</f>
        <v>4.8317609768846151E-2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8.199999999999999E-2</v>
      </c>
      <c r="F8" s="92">
        <f>food_insecure</f>
        <v>8.199999999999999E-2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0.74199999999999999</v>
      </c>
      <c r="E9" s="92">
        <f>IF(ISBLANK(comm_deliv), frac_children_health_facility,1)</f>
        <v>0.74199999999999999</v>
      </c>
      <c r="F9" s="92">
        <f>IF(ISBLANK(comm_deliv), frac_children_health_facility,1)</f>
        <v>0.74199999999999999</v>
      </c>
      <c r="G9" s="92">
        <f>IF(ISBLANK(comm_deliv), frac_children_health_facility,1)</f>
        <v>0.74199999999999999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6.870815949221154E-2</v>
      </c>
      <c r="D11" s="92">
        <f>diarrhoea_1_5mo/26</f>
        <v>5.8895330961538463E-2</v>
      </c>
      <c r="E11" s="92">
        <f>diarrhoea_6_11mo/26</f>
        <v>5.8895330961538463E-2</v>
      </c>
      <c r="F11" s="92">
        <f>diarrhoea_12_23mo/26</f>
        <v>4.8317609768846151E-2</v>
      </c>
      <c r="G11" s="92">
        <f>diarrhoea_24_59mo/26</f>
        <v>4.8317609768846151E-2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8.199999999999999E-2</v>
      </c>
      <c r="I14" s="92">
        <f>food_insecure</f>
        <v>8.199999999999999E-2</v>
      </c>
      <c r="J14" s="92">
        <f>food_insecure</f>
        <v>8.199999999999999E-2</v>
      </c>
      <c r="K14" s="92">
        <f>food_insecure</f>
        <v>8.199999999999999E-2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0.84900000000000009</v>
      </c>
      <c r="I17" s="92">
        <f>frac_PW_health_facility</f>
        <v>0.84900000000000009</v>
      </c>
      <c r="J17" s="92">
        <f>frac_PW_health_facility</f>
        <v>0.84900000000000009</v>
      </c>
      <c r="K17" s="92">
        <f>frac_PW_health_facility</f>
        <v>0.84900000000000009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0.154</v>
      </c>
      <c r="M23" s="92">
        <f>famplan_unmet_need</f>
        <v>0.154</v>
      </c>
      <c r="N23" s="92">
        <f>famplan_unmet_need</f>
        <v>0.154</v>
      </c>
      <c r="O23" s="92">
        <f>famplan_unmet_need</f>
        <v>0.154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0.14767090051422105</v>
      </c>
      <c r="M24" s="92">
        <f>(1-food_insecure)*(0.49)+food_insecure*(0.7)</f>
        <v>0.50722</v>
      </c>
      <c r="N24" s="92">
        <f>(1-food_insecure)*(0.49)+food_insecure*(0.7)</f>
        <v>0.50722</v>
      </c>
      <c r="O24" s="92">
        <f>(1-food_insecure)*(0.49)+food_insecure*(0.7)</f>
        <v>0.50722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6.3287528791809031E-2</v>
      </c>
      <c r="M25" s="92">
        <f>(1-food_insecure)*(0.21)+food_insecure*(0.3)</f>
        <v>0.21738000000000002</v>
      </c>
      <c r="N25" s="92">
        <f>(1-food_insecure)*(0.21)+food_insecure*(0.3)</f>
        <v>0.21738000000000002</v>
      </c>
      <c r="O25" s="92">
        <f>(1-food_insecure)*(0.21)+food_insecure*(0.3)</f>
        <v>0.21738000000000002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8.0179342300414957E-2</v>
      </c>
      <c r="M26" s="92">
        <f>(1-food_insecure)*(0.3)</f>
        <v>0.27539999999999998</v>
      </c>
      <c r="N26" s="92">
        <f>(1-food_insecure)*(0.3)</f>
        <v>0.27539999999999998</v>
      </c>
      <c r="O26" s="92">
        <f>(1-food_insecure)*(0.3)</f>
        <v>0.27539999999999998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0.70886222839355495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2020-03-24T06:48:33Z</dcterms:modified>
</cp:coreProperties>
</file>