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53DBD30-021F-4057-84A4-5B9F70129401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C7" i="51" s="1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I11" i="2" s="1"/>
  <c r="H12" i="2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I14" i="2" s="1"/>
  <c r="G15" i="2"/>
  <c r="G2" i="2"/>
  <c r="I24" i="2"/>
  <c r="I18" i="2"/>
  <c r="I32" i="2"/>
  <c r="I29" i="2"/>
  <c r="I36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2" i="2"/>
  <c r="I10" i="2"/>
  <c r="I9" i="2"/>
  <c r="I8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BD159E63-556A-4FE5-91C5-66786B3F11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63C1CF6-CB3E-4335-8D77-9925B4AF11D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904D7B65-95D2-4B7F-A5C2-125E6A480A4C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68297D5B-9A4B-4EAE-9014-EE64FBA8ADD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1E098C24-EE37-4F58-8EE3-BED7EBA60D6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1ACB29F-5449-4334-B40A-50010ED8685A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42156C5B-4DD9-4AA5-A486-9C819A23EDB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4F56E52-FFDE-45B6-B0B5-BE93A157758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727F919E-3960-4783-B686-D63C58C581A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AE42A60-C243-42C4-8E3B-6D118299373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B8BFA46-1B3F-433F-8768-FC862C0D9F3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EE9F8F7-5C4A-48CA-9B58-F7EFEC2468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24A1F05-1D85-4106-99F9-E62AE03E31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D744AC0-08C7-496A-9F94-69CBAB31C5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F720BA09-12E0-4073-BB88-27F92AC32E2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D17D9DF-8C45-4B1B-84B5-65B90FE082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C189179-D72E-48BF-BB18-882C900E18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2B74A80-311C-4903-9D66-BF21388119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15B87D8-083B-4D2B-8DC5-6296E13EAEF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99BB3498-2A39-48EE-B7F7-B32A057CF33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2122639-A556-47EC-9964-6D3538D719D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F1AFCB37-6082-48E5-B138-04F0EC37CA2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B96C1AF-CBF9-49BF-BFDA-6419862F696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6705E6F-EB91-4EE7-A445-B69200B9272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EEC35DE7-724C-4497-8232-E23137B35735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DD1E14F-B189-4CF2-95CB-C3F9813E3F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1853218-4345-4F97-B400-2B3F09F9B01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58DE7A9D-08E7-4385-BDDB-DE18003E30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9620F379-C6A1-4F25-9481-88C75F6527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62CA1F37-34AE-4516-941B-DA1113EF0F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E275A17-F36A-4835-AB4F-8697F8E0ED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9CFACF91-AFCE-4ACF-BA87-0F4D5BFE77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7C8D773-7A64-41C5-ABCE-F578BD2F0B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9D1E9CB9-380A-47EA-858C-DD63C68FDB9E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ABD2BAF-BCAE-4B64-91AB-036A71153DC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ED99D9D-4CDD-44A0-95EB-0F1E9F53A9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D1F6C7DB-97D4-46E1-938A-75DDC57EEF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6E542004-1BAD-4638-9F61-3C6C8385C8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BD1B58B4-8F59-4D90-8B22-6F8C281FAC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A8D9027A-07D5-4C62-8CCA-B4E6D209C1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DB7291B-3D16-4808-8921-4BA1891CB3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6BFF4503-801B-4F81-8A54-22BF52849D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A489EAF5-5604-4852-8A7B-1DB78341B1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2A7C420-5680-4BAC-9FC5-1C58D555A5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E37BA136-16F2-47C2-8D8B-0757F17154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D69C0488-A60F-4946-98DF-72EDDDFF10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8B62839-5AEE-466C-BFAB-C90D1C086F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E5062C1E-D0CA-4B2A-BF63-2F58F0FD74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BC1E72C-C25B-4C79-A60E-DB1BCA13EC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8EBBB45-ACD4-4AB9-8E70-8BA721064C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215CE9D-8054-4422-A4AF-CAC3F34D2A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72D2E593-298D-4886-8CEB-BD48F74192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2B8CB09-1705-49FD-88AE-959D4E6243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3BFDB59-3E5E-44BA-A6B6-E2B5FE7872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CA294BF-DAF5-4537-933E-C2F73A97D7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1B71A76-4550-4BAA-8C7C-64E9D56B53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BE2EBFA1-2955-42D4-BF70-91099F2DF2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6586D8D-D989-4E8B-98C3-E6DEB0441F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1F40DB81-F686-4DEF-A639-15BC6D0DFF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BE736F07-4AAD-45BD-9F1D-5154484C9F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C03066D5-2177-44A5-B5B6-BDB9A11CC6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A5A58F3D-72E1-4D76-B2BC-798A413332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27C492D5-7636-4615-A5E5-875D392D0D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544EEF99-8314-4C4E-A2FA-2A59E838A3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39F7318B-AE48-42B2-B289-79C9921D9B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A1E088D-BF59-40AD-88D6-9EFC187260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068A4C8-79F0-45FD-9AAC-B996E6059C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9BB60B14-B984-445F-9DC0-C289324F35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00CD4595-447F-4934-A6C5-7050610B01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75F2DC0-BB42-4C74-8438-B6BA8BFC61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B849EF8-5915-4027-B386-C83D246524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7A4C5AC-6EE5-4026-BD9B-EE9278E1D2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9ADC6C1-A83D-4301-8553-73B0286BCE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78364DDE-30E5-48AA-9B34-1C7708C802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5EAA5161-7B80-4247-A273-17D6A049B1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04B332F6-905E-4AD9-863C-8F2FC3605E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1918A06E-7017-4482-B439-9DC05F093B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B10F435-84FC-4F14-B034-47FEE00F41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B1A27A56-3936-43AE-A27D-33991ECF4A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F15C1146-7CBD-477B-B9B0-6F95EC9327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9467C65-321C-443E-8558-3F008079E7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8EFA53B-69CF-4A05-BD7C-5FAE5CD77B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0E50DE5-7283-4370-A5EA-7BB09182FE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6DD17B7F-4476-4808-9689-B04BECCA1C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FFAE8E7F-B5E9-40A5-A093-42BEDA53EB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C8782FE0-70D8-47EF-ABBE-A28036B35E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760B1C8-00C0-4085-A24D-EDB3D83B9F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85A82CF-2251-478F-9C1E-031EA4712D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E423016-0796-489F-B940-325D4A0065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E816F01D-9ACE-445E-886F-BEB9859988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20E45DC1-F751-48D2-BB97-135B123EC6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AEB1CCF5-C84B-4799-B5C7-AB67EFFA34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C773FF61-0A72-452A-9B80-5B5A78158F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CED5087-57CA-4BE5-8ED7-FA45194CE8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9CF63DB-ECAE-45A0-A535-028D6C3E4C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BBD36FB-CA3A-4A13-A1AA-0C7231C786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C00C8458-82D0-45E1-9A0B-2D5028E618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E78F82E9-C69A-4970-A50C-1EB566DE53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7F75812-5108-496D-98BA-1DD72E9F69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0C5E88F-9BB7-4C5A-9BE6-B5F9C838D1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89CD79F7-4DBA-4EE8-AE0D-277D0D1B18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E3056985-222D-4FC6-8597-F146864970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CB8DF3D7-1FBC-490F-8423-C912C1203F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BBF1D661-2DBC-4482-9D59-F62F3C9229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39C54181-A15F-48B9-A7F7-0D5C410472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622C66D4-0DB7-4121-821A-78EEF2F4E7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74B1F48-6A39-40BB-9725-C2FC516545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D63EB6C6-ABCD-4750-A337-E63B74E342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F00A3AD-8BEF-4A53-9424-0208453ECD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5CBE5D02-C501-482B-8B7E-9F673AF5F4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5C9D429B-2716-4268-9230-D82714A9AB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7D4E4E9A-376A-4FDF-9278-E903D1A893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0140A848-4F2C-44E1-AAE2-ACED650277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F0CD9B38-3E84-4D18-8896-633D6EF134D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5EF70C6F-2409-4F4E-83AC-778A0EF700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FA05AE2-D0D9-4700-8B11-1BFFF563193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3C1710D4-FEA4-460F-B5DE-B70C52BB35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A5CADC6A-5E16-4E56-AF81-EDFFC7E913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93FFB7E-F235-4855-93D2-E5FF025C6D3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4741C547-D113-4D42-8F85-1987E43573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1DCF6587-F840-4515-95A0-A03EE098187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99F1A98-CD65-4886-9ACC-E7459E20EF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4634ABC-4466-4E97-8B26-D5E1631BB43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DC7DA41-3831-49A4-B592-CA139547F4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48E9982-1F2F-47DC-8FED-1F80640A703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572C2058-FE59-42F8-A5B7-738491D16E7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175B246-551C-4248-B950-96F1AB35D9E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91891F1F-00DA-4717-81D9-CDC5FACDB74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BE10A4F1-D5F2-4AFF-A85F-5685809002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BB9290B-03E9-4870-83B2-818B11C69B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60FD1D84-15AC-476B-AD39-909090E65B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A450370D-6B4E-4A43-B877-602B9BC3E71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806A11B3-056E-4B5B-9D03-08068D2067B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F695948A-1656-4E38-8501-13C90FC3C4C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ED78284-7178-48C8-AFA8-C806C09D3C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44D0B77C-7977-41FB-BB6E-FF86B02437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0A6FDEE8-CEF5-4154-B0D7-16F0651060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1ADF4533-F943-4FDC-885E-AD046AA09E7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94D06A7-4DC5-481A-8B0A-F54EE41818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6659764-F495-4D58-B38B-F89A7B2585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600A06B3-8AA9-4DDB-ACAB-7273078C65D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5043C9EE-15D5-429E-954C-FCFEC547F9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70D06EFA-DEF0-4D9B-81CC-5B884B9CFEF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7C5BCD6-8912-427F-8115-E33D07448A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D3818815-25F1-445B-98B2-016184B99B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052688F2-A246-40B0-B597-0717C699A7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03D251DF-07DB-46ED-8F69-9058762B97F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96E3CF0-628A-4435-B5C8-510A89AF84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9E6224A-9DB9-4D6B-A2FD-AF8F4408BFA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B53A6399-0B2E-4DD1-88F2-55F1065ACC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0BF9558-E7F4-49B2-B65A-BF95E5EA6C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4B38F9CF-33AD-4E38-8AE4-0588DF707D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980AE2D-CB2F-404F-8983-29650C15E3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30444C2-8162-4696-8F28-8930286A713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7D844EC-8D76-4AF7-9D0B-1B4B434E2A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DE69D78-C780-4462-9675-469DF18E07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DF15D272-D757-4C95-955F-154760B0AB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CA0E8558-7065-42C8-99F1-9E9F5D61B42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92B8FAE-78FD-4E7A-9927-F9807CA7EF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3A152C4-496F-41B9-A350-F84FB8A59F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A0DA034-4139-4CAA-BED2-3F0814EEA5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20EF4E0-57BE-4E74-8E13-0FCD4879A8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799B7DA-1F13-49FB-AC62-75FF4B9B56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58159ADC-1786-47C0-902C-A569DDF37D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D78FE72C-8C68-4B3F-9EBC-191C54440F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3EF84685-5218-4EB6-8B16-CD10143385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0960240A-CE69-4925-ACCE-6B4D07224A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6238B88-47AC-482B-9440-D21F9B100E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6B0C2C3-93D1-47CC-988C-06E10AD566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250F636E-B693-46B5-8EBA-83AFCE0B6E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83DD57FA-B98C-406E-AA98-1D177E2F82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19DE5B5-C808-4C53-BA5A-C74557A0FA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8379B993-6602-4C29-BC67-2E1B6AC253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2A2F826-22D4-46B0-B570-5AB157B91E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04B6241-7E86-48A1-89B9-8DBB108B06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C5E431CA-EA3A-4E4F-8DD0-463FACA1AC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5BC1EA6F-BA17-4B72-9AC2-2EB61252C3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3A966E58-ED16-40BF-8F03-35894150EF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9CC10FA-F8CA-4D09-8648-2D8825EEDB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F64CCC1-E4BA-44F3-93C7-138A760D79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5019D8DD-0C99-4909-8E35-206FBCA3C8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6A8D54EE-115E-4CEA-909E-ECB8B85A0B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6FA55B13-1C78-4EC0-9F8C-9A181BC353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DA7D198-0ECC-4684-B58B-ED4FE7FDC4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FAFAA997-F63E-4604-82EA-075B37BBE0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ACA41D92-2BDB-4582-8402-6329472968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42633760-E90A-4B1A-B438-991416D931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BDBA2B6B-77D5-4C31-9CB2-ACA8A66FB3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EE8ADAE5-AAEB-4506-9B9E-F26F090B4B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DED9659D-A48D-403B-8F54-FE302DC722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F88A5E9C-F693-4BC1-91A2-3489536C01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7F51E0CD-4525-40D6-BACE-DA3A7CC5FE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176CBA2C-496F-48E5-B73F-3F15529150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6AFF621D-A78C-49F3-A3B6-F8A8FE4C82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711336E3-9818-41D9-804C-458A4AF25C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1383C2DB-82F6-47F6-9768-3A3AEBF9A2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2E9EC15B-DB8F-4021-BEEB-18AC5E7352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225897A1-1EF5-44C2-B6F9-63B2905B69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FFD05035-8FF2-4E7D-BB17-0B46551CDB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C89838CE-9B49-4281-896B-00C2E4F699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B0A3470-035E-46A0-A485-774FC5966DD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150D534-1730-459A-8B77-225D467E0F2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53C0D478-38F9-4258-914B-72EF6AF3A2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983F8CC7-4200-4249-844B-ADABD810F83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0CE0CA7-E6BA-4C6A-A5D8-70241FCEDEF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80FE6A34-9C1A-4844-A230-F72233DAA1A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65F48F3-120D-4E90-919C-322EBD7EF29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422B278-E71F-4BE2-B646-9967468A32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AE3D1238-EE9F-49CE-8F70-58E1EFA943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6CE97200-7CE8-4B56-B493-19334B4CEB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9DBE954F-6E57-43C3-8F9C-EECC859A95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F1989014-A4F8-4452-BCED-40CE7D8F605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41F72F0-28D0-4191-8D8D-923683677FD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A6D73006-8512-45D8-9515-811A5AA13D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2185B716-012C-4F1D-B377-FA64C80DD318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C2F962C3-0AA1-4B1E-A603-916409FB74F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B6E5A666-801E-426E-8987-CE475D9E957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1AEF2C17-4AC8-4DAF-87AF-9B219477B91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A9490C13-A885-4D52-9182-6B84D8416C8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C690D26-5D30-4CEF-AEAD-3BBABA20A6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367FD38-A1B3-4ABC-8FF0-918951EDBB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E4F66143-1A17-4EC7-B114-12BCD74D44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FEB6644-C3CE-4B7D-950D-14A0B6EE05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18CCEC0-CC8A-44DA-8791-5668EC113A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34AF372-5861-4BAA-9BF8-DFF14FECB2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442CC2D7-5F72-472A-9BDA-729601AA50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EE7B424-94B9-42F1-89AC-C717AE0CCC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93C78BC-6931-4592-B3E7-F9212DFDF1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78032793-C49C-426C-BB03-494540DC6B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39D0FF23-3032-4704-BFDD-147A97CCEB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F219EFE5-1870-48A9-8654-7CEA038A7E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6E9E0CD6-6F9E-4683-B91C-4B8CF8FEA1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19DAD994-0D24-46F3-98F4-9EFA08ABCA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05A49A5-B89E-40A6-9986-137BD9D742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D82E095C-E5E9-4293-8265-C4A91ECB8C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5D4AE6AC-3D83-482B-B9A1-AEA2815C61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344E1F3D-0BED-4547-BB8E-A10FE9882A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1EFEA64-B482-4F0C-808B-38F16F49D9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3A039658-F0FE-4D11-A5B4-91B02FE619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CC2ADB8-F9D9-48A4-A928-4254F07191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C7C25250-EBC5-4A2A-B109-DBFA5C2485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5E5B7C2-7DF5-43E8-BD62-ED67C3DE7D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08E31091-ED89-4ADF-8047-D43BFF6088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046FEA6-1DE2-4983-B898-8FBF1BCF6A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9AD88160-E221-4EFF-83FC-7C334C080D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F4403D9-88E4-4376-A002-437FC01E87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D14FD541-FE64-4448-AAB6-330820B285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4854C868-F215-439F-9368-8DC5DEC51D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5C330697-FBD1-406B-86A1-C334AB532F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F058302-783D-4693-9088-A9FB8D3E25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3B96D55B-1148-4490-A58C-41BE4A33F8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87436B9-9099-4543-8AF7-70961AB849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7D1D598A-1034-4DFE-A6C5-F701892B29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69A6DA1-A79E-4FD9-A67D-CFBC07E7F6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6F6D31AA-001E-486C-B5D5-6AA3B71F27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05625B8-C1C5-4CB0-9A28-29C91784E8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3F9897E1-6760-48DC-B8E1-9FFAED22AE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9F3A1587-42FD-473C-BA8B-4D16819091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4D663985-079D-488C-8EE2-1E0A7D76E3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A57D458-A1DD-40F6-936F-CDF48AFF9A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FEFA888D-3C62-41AF-93E6-B530619F65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9709FBF-C84D-4CD1-83A0-2A3080F277C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36F3CF86-455E-4A6F-8AEA-C3D0771579B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B94E35A-7EBA-4D22-A697-1728C1A130F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2BBFDBA1-631C-411B-B7EA-8ED71B79F8A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04FA039-C046-4A92-8487-02C2692FA706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2DA3C70F-5FBA-462B-9B42-5A52A23FFC6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FED3FBB3-1F16-4805-B38B-DD62B5FC01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F41B0D5-DE7A-49DF-9C0D-C0F642C9855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2BE29E6C-2DCF-4359-8DA9-18E92FDB6C4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E857E51-2D64-4464-9995-78E4DFDF5F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F13A24D-D38C-47DC-8F71-BA0CBF1A739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50E0828F-A6EC-448E-A3C0-54BBBA47D4B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CBEE0261-07CC-41CB-9BEB-22501304083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9723364A-87B6-40DA-B15E-9D08CCC0851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06550413-D7FD-4458-B8AA-E35A48FB08E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5F0271E5-94CD-4787-8B51-1750FF8582F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23D925D-D489-473F-9B12-E0FD73D9C84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326E47A0-C6B5-4C8C-B592-546F1B6A494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A5D94A8F-C13B-4066-9646-0E820A284FE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D7414DF5-90B3-41A5-9889-F3F68B3B1D5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B5F201F8-68E2-4B31-8EAB-C7A70151291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60A9CD7-8130-48F2-B5D4-0E6B15345CA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EF565F91-4C1C-4556-9BB6-2E5651A4A8A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AF992E1C-514C-40C7-A5EA-6BC832FF7A2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D044442-A0C1-4254-AA14-EF4D60FAE4D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D19EE57A-AB4C-4BF3-87CB-2A75183C28E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A86E18E-7FE1-4254-B6F0-F03D0C560A05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5D85EAE3-4A7C-4A10-B97E-E7A363D97066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4CBCCEAA-53A0-4B3D-ADF1-FD5DFD43236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0FD11C51-39FB-4362-A6A6-19DE9F6494F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2CC63698-49A5-40F1-B14F-A2457B3E961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5FCCA56-405D-45E1-BC5D-342368ED8A4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38088EE-D4B8-4EAA-A82F-F2EB9563EA0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E88BE81-A979-4302-85C7-D6C44F75BF4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3920A4B9-381E-4E88-8176-E9589576521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87844155-5AA2-4570-9596-A7C8F30115D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0DE520FE-5601-4EC1-A5F9-FD11B0C104FE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BB15170-81BB-4CE7-B765-72893F8D371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ACA913A2-85D3-4AE4-B76E-B259BC2C65C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BA4610AC-F98E-4B46-839E-D9534D1A94C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0EFB4459-410E-4A33-8D78-5BDCBC59637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BCD0D766-9788-49B6-AC77-073EA7B8CCE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B2EF1390-A61B-4630-B590-86E3EC1F8DC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45CCD617-AA69-4AF7-BC04-D26F43060C7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77CB01E-B087-4A2F-84EB-1B3657632AC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5CD6261-EFE2-4BE7-9A07-F0A33001A33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E5C75EA0-98BF-4168-9298-1FF0E743512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4E7E1A4D-405A-4E8F-9157-090E111CD62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5525F81-74FB-45D1-A524-7BBDF391491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14621A04-9D31-4009-BA8F-CE9550989A3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48AC86A-5751-49DD-A044-5CC4B43333A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A5A0098-3DF7-4CDB-B254-C22CECEA09D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6C088D4E-AA9F-46DC-A989-70655290E01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3486382F-7BF9-420D-AC5F-7EB95A369BE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1E2FA96-EA96-43EE-9940-EB1B87BDD1C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64C9269-FD6D-4419-96B5-918D0EB88C6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DE12EF74-D955-4A19-A7F2-96217163898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C5E2628F-F7BC-46A8-8BE4-ADC98635AF0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C3B0F93-FBDF-4C55-BD77-1F31B254967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9675F77C-C06D-4C78-9B90-E2C4910BF4A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18870D38-87CC-4152-8094-A1D1C69E0BAA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89EB9B9-4B62-4205-AEB4-91D83FFDC42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<sst xmlns="http://schemas.openxmlformats.org/spreadsheetml/2006/main" count="1102" uniqueCount="271">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</sst>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1193852</v>
      </c>
    </row>
    <row r="8" spans="1:3" ht="15" customHeight="1" x14ac:dyDescent="0.25">
      <c r="B8" s="7" t="s">
        <v>106</v>
      </c>
      <c r="C8" s="70">
        <v>0.36399999999999999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0.77735023498535194</v>
      </c>
    </row>
    <row r="11" spans="1:3" ht="15" customHeight="1" x14ac:dyDescent="0.25">
      <c r="B11" s="7" t="s">
        <v>108</v>
      </c>
      <c r="C11" s="70">
        <v>0.85599999999999998</v>
      </c>
    </row>
    <row r="12" spans="1:3" ht="15" customHeight="1" x14ac:dyDescent="0.25">
      <c r="B12" s="7" t="s">
        <v>109</v>
      </c>
      <c r="C12" s="70">
        <v>0.61599999999999999</v>
      </c>
    </row>
    <row r="13" spans="1:3" ht="15" customHeight="1" x14ac:dyDescent="0.25">
      <c r="B13" s="7" t="s">
        <v>110</v>
      </c>
      <c r="C13" s="70">
        <v>0.57200000000000006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0.12039999999999999</v>
      </c>
    </row>
    <row r="24" spans="1:3" ht="15" customHeight="1" x14ac:dyDescent="0.25">
      <c r="B24" s="20" t="s">
        <v>102</v>
      </c>
      <c r="C24" s="71">
        <v>0.49090000000000006</v>
      </c>
    </row>
    <row r="25" spans="1:3" ht="15" customHeight="1" x14ac:dyDescent="0.25">
      <c r="B25" s="20" t="s">
        <v>103</v>
      </c>
      <c r="C25" s="71">
        <v>0.31829999999999997</v>
      </c>
    </row>
    <row r="26" spans="1:3" ht="15" customHeight="1" x14ac:dyDescent="0.25">
      <c r="B26" s="20" t="s">
        <v>104</v>
      </c>
      <c r="C26" s="71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0.27800000000000002</v>
      </c>
    </row>
    <row r="30" spans="1:3" ht="14.25" customHeight="1" x14ac:dyDescent="0.25">
      <c r="B30" s="30" t="s">
        <v>76</v>
      </c>
      <c r="C30" s="73">
        <v>5.5E-2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0.53400000000000003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18.5</v>
      </c>
    </row>
    <row r="38" spans="1:5" ht="15" customHeight="1" x14ac:dyDescent="0.25">
      <c r="B38" s="16" t="s">
        <v>91</v>
      </c>
      <c r="C38" s="75">
        <v>28</v>
      </c>
      <c r="D38" s="17"/>
      <c r="E38" s="18"/>
    </row>
    <row r="39" spans="1:5" ht="15" customHeight="1" x14ac:dyDescent="0.25">
      <c r="B39" s="16" t="s">
        <v>90</v>
      </c>
      <c r="C39" s="75">
        <v>34.9</v>
      </c>
      <c r="D39" s="17"/>
      <c r="E39" s="17"/>
    </row>
    <row r="40" spans="1:5" ht="15" customHeight="1" x14ac:dyDescent="0.25">
      <c r="B40" s="16" t="s">
        <v>171</v>
      </c>
      <c r="C40" s="75">
        <v>2.06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1.6899999999999998E-2</v>
      </c>
      <c r="D45" s="17"/>
    </row>
    <row r="46" spans="1:5" ht="15.75" customHeight="1" x14ac:dyDescent="0.25">
      <c r="B46" s="16" t="s">
        <v>11</v>
      </c>
      <c r="C46" s="71">
        <v>6.4299999999999996E-2</v>
      </c>
      <c r="D46" s="17"/>
    </row>
    <row r="47" spans="1:5" ht="15.75" customHeight="1" x14ac:dyDescent="0.25">
      <c r="B47" s="16" t="s">
        <v>12</v>
      </c>
      <c r="C47" s="71">
        <v>8.1199999999999994E-2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2.7167039906550001</v>
      </c>
      <c r="D51" s="17"/>
    </row>
    <row r="52" spans="1:4" ht="15" customHeight="1" x14ac:dyDescent="0.25">
      <c r="B52" s="16" t="s">
        <v>125</v>
      </c>
      <c r="C52" s="76">
        <v>2.6124756229499901</v>
      </c>
    </row>
    <row r="53" spans="1:4" ht="15.75" customHeight="1" x14ac:dyDescent="0.25">
      <c r="B53" s="16" t="s">
        <v>126</v>
      </c>
      <c r="C53" s="76">
        <v>2.6124756229499901</v>
      </c>
    </row>
    <row r="54" spans="1:4" ht="15.75" customHeight="1" x14ac:dyDescent="0.25">
      <c r="B54" s="16" t="s">
        <v>127</v>
      </c>
      <c r="C54" s="76">
        <v>2.0599225036700002</v>
      </c>
    </row>
    <row r="55" spans="1:4" ht="15.75" customHeight="1" x14ac:dyDescent="0.25">
      <c r="B55" s="16" t="s">
        <v>128</v>
      </c>
      <c r="C55" s="76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0.47161628276147805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51.401759028170218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39.731579279716094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310.49560891409544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0.79798866021750892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1.3310449941979889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1.3310449941979889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1.3310449941979889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1.3310449941979889</v>
      </c>
      <c r="E13" s="86" t="s">
        <v>202</v>
      </c>
    </row>
    <row r="14" spans="1:5" ht="15.75" customHeight="1" x14ac:dyDescent="0.25">
      <c r="A14" s="11" t="s">
        <v>187</v>
      </c>
      <c r="B14" s="85">
        <v>0.251</v>
      </c>
      <c r="C14" s="85">
        <v>0.95</v>
      </c>
      <c r="D14" s="86">
        <v>12.863878723512006</v>
      </c>
      <c r="E14" s="86" t="s">
        <v>202</v>
      </c>
    </row>
    <row r="15" spans="1:5" ht="15.75" customHeight="1" x14ac:dyDescent="0.25">
      <c r="A15" s="11" t="s">
        <v>209</v>
      </c>
      <c r="B15" s="85">
        <v>0.251</v>
      </c>
      <c r="C15" s="85">
        <v>0.95</v>
      </c>
      <c r="D15" s="86">
        <v>12.863878723512006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0.57064452340735461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0.70799999999999996</v>
      </c>
      <c r="C18" s="85">
        <v>0.95</v>
      </c>
      <c r="D18" s="87">
        <v>7.1893102094440149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7.1893102094440149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7.1893102094440149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9.7399777981275673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22.12118995836277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4.1866497120487418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18.431400895457706</v>
      </c>
      <c r="E24" s="86" t="s">
        <v>202</v>
      </c>
    </row>
    <row r="25" spans="1:5" ht="15.75" customHeight="1" x14ac:dyDescent="0.25">
      <c r="A25" s="52" t="s">
        <v>87</v>
      </c>
      <c r="B25" s="85">
        <v>0.23300000000000001</v>
      </c>
      <c r="C25" s="85">
        <v>0.95</v>
      </c>
      <c r="D25" s="86">
        <v>18.423846323973265</v>
      </c>
      <c r="E25" s="86" t="s">
        <v>202</v>
      </c>
    </row>
    <row r="26" spans="1:5" ht="15.75" customHeight="1" x14ac:dyDescent="0.25">
      <c r="A26" s="52" t="s">
        <v>137</v>
      </c>
      <c r="B26" s="85">
        <v>0.251</v>
      </c>
      <c r="C26" s="85">
        <v>0.95</v>
      </c>
      <c r="D26" s="86">
        <v>4.8853065826846782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6.3034119246540099</v>
      </c>
      <c r="E27" s="86" t="s">
        <v>202</v>
      </c>
    </row>
    <row r="28" spans="1:5" ht="15.75" customHeight="1" x14ac:dyDescent="0.25">
      <c r="A28" s="52" t="s">
        <v>84</v>
      </c>
      <c r="B28" s="85">
        <v>0.34899999999999998</v>
      </c>
      <c r="C28" s="85">
        <v>0.95</v>
      </c>
      <c r="D28" s="86">
        <v>1.7038017814249036</v>
      </c>
      <c r="E28" s="86" t="s">
        <v>202</v>
      </c>
    </row>
    <row r="29" spans="1:5" ht="15.75" customHeight="1" x14ac:dyDescent="0.25">
      <c r="A29" s="52" t="s">
        <v>58</v>
      </c>
      <c r="B29" s="85">
        <v>0.70799999999999996</v>
      </c>
      <c r="C29" s="85">
        <v>0.95</v>
      </c>
      <c r="D29" s="86">
        <v>98.521408904830395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1.01886993046857</v>
      </c>
      <c r="E30" s="86" t="s">
        <v>202</v>
      </c>
    </row>
    <row r="31" spans="1:5" ht="15.75" customHeight="1" x14ac:dyDescent="0.25">
      <c r="A31" s="52" t="s">
        <v>28</v>
      </c>
      <c r="B31" s="85">
        <v>0.62250000000000005</v>
      </c>
      <c r="C31" s="85">
        <v>0.95</v>
      </c>
      <c r="D31" s="86">
        <v>1.2100071782514628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0.41499999999999998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0.503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0.84400000000000008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4.1448077543726143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1.2311303277921413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5.4889548999999996E-2</v>
      </c>
      <c r="C3" s="26">
        <f>frac_mam_1_5months * 2.6</f>
        <v>5.4889548999999996E-2</v>
      </c>
      <c r="D3" s="26">
        <f>frac_mam_6_11months * 2.6</f>
        <v>1.519781146E-2</v>
      </c>
      <c r="E3" s="26">
        <f>frac_mam_12_23months * 2.6</f>
        <v>2.818292256E-2</v>
      </c>
      <c r="F3" s="26">
        <f>frac_mam_24_59months * 2.6</f>
        <v>2.6001822166666674E-2</v>
      </c>
    </row>
    <row r="4" spans="1:6" ht="15.75" customHeight="1" x14ac:dyDescent="0.25">
      <c r="A4" s="3" t="s">
        <v>66</v>
      </c>
      <c r="B4" s="26">
        <f>frac_sam_1month * 2.6</f>
        <v>0.10083053500000001</v>
      </c>
      <c r="C4" s="26">
        <f>frac_sam_1_5months * 2.6</f>
        <v>0.10083053500000001</v>
      </c>
      <c r="D4" s="26">
        <f>frac_sam_6_11months * 2.6</f>
        <v>9.7183416199999994E-3</v>
      </c>
      <c r="E4" s="26">
        <f>frac_sam_12_23months * 2.6</f>
        <v>1.9135005240000003E-2</v>
      </c>
      <c r="F4" s="26">
        <f>frac_sam_24_59months * 2.6</f>
        <v>1.6710160566666663E-2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253833.14880000002</v>
      </c>
      <c r="C2" s="78">
        <v>541563</v>
      </c>
      <c r="D2" s="78">
        <v>959079</v>
      </c>
      <c r="E2" s="78">
        <v>782344</v>
      </c>
      <c r="F2" s="78">
        <v>569759</v>
      </c>
      <c r="G2" s="22">
        <f t="shared" ref="G2:G40" si="0">C2+D2+E2+F2</f>
        <v>2852745</v>
      </c>
      <c r="H2" s="22">
        <f t="shared" ref="H2:H40" si="1">(B2 + stillbirth*B2/(1000-stillbirth))/(1-abortion)</f>
        <v>295575.15955830208</v>
      </c>
      <c r="I2" s="22">
        <f>G2-H2</f>
        <v>2557169.8404416977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254442.43733333331</v>
      </c>
      <c r="C3" s="78">
        <v>545000</v>
      </c>
      <c r="D3" s="78">
        <v>973000</v>
      </c>
      <c r="E3" s="78">
        <v>798000</v>
      </c>
      <c r="F3" s="78">
        <v>588000</v>
      </c>
      <c r="G3" s="22">
        <f t="shared" si="0"/>
        <v>2904000</v>
      </c>
      <c r="H3" s="22">
        <f t="shared" si="1"/>
        <v>296284.64354929549</v>
      </c>
      <c r="I3" s="22">
        <f t="shared" ref="I3:I15" si="3">G3-H3</f>
        <v>2607715.3564507044</v>
      </c>
    </row>
    <row r="4" spans="1:9" ht="15.75" customHeight="1" x14ac:dyDescent="0.25">
      <c r="A4" s="7">
        <f t="shared" si="2"/>
        <v>2019</v>
      </c>
      <c r="B4" s="77">
        <v>254949.93333333332</v>
      </c>
      <c r="C4" s="78">
        <v>547000</v>
      </c>
      <c r="D4" s="78">
        <v>988000</v>
      </c>
      <c r="E4" s="78">
        <v>812000</v>
      </c>
      <c r="F4" s="78">
        <v>607000</v>
      </c>
      <c r="G4" s="22">
        <f t="shared" si="0"/>
        <v>2954000</v>
      </c>
      <c r="H4" s="22">
        <f t="shared" si="1"/>
        <v>296875.59556594241</v>
      </c>
      <c r="I4" s="22">
        <f t="shared" si="3"/>
        <v>2657124.4044340574</v>
      </c>
    </row>
    <row r="5" spans="1:9" ht="15.75" customHeight="1" x14ac:dyDescent="0.25">
      <c r="A5" s="7">
        <f t="shared" si="2"/>
        <v>2020</v>
      </c>
      <c r="B5" s="77">
        <v>255364.82399999996</v>
      </c>
      <c r="C5" s="78">
        <v>550000</v>
      </c>
      <c r="D5" s="78">
        <v>1001000</v>
      </c>
      <c r="E5" s="78">
        <v>825000</v>
      </c>
      <c r="F5" s="78">
        <v>626000</v>
      </c>
      <c r="G5" s="22">
        <f t="shared" si="0"/>
        <v>3002000</v>
      </c>
      <c r="H5" s="22">
        <f t="shared" si="1"/>
        <v>297358.71361249773</v>
      </c>
      <c r="I5" s="22">
        <f t="shared" si="3"/>
        <v>2704641.2863875022</v>
      </c>
    </row>
    <row r="6" spans="1:9" ht="15.75" customHeight="1" x14ac:dyDescent="0.25">
      <c r="A6" s="7">
        <f t="shared" si="2"/>
        <v>2021</v>
      </c>
      <c r="B6" s="77">
        <v>255602.0312</v>
      </c>
      <c r="C6" s="78">
        <v>552000</v>
      </c>
      <c r="D6" s="78">
        <v>1014000</v>
      </c>
      <c r="E6" s="78">
        <v>840000</v>
      </c>
      <c r="F6" s="78">
        <v>645000</v>
      </c>
      <c r="G6" s="22">
        <f t="shared" si="0"/>
        <v>3051000</v>
      </c>
      <c r="H6" s="22">
        <f t="shared" si="1"/>
        <v>297634.92874168727</v>
      </c>
      <c r="I6" s="22">
        <f t="shared" si="3"/>
        <v>2753365.0712583126</v>
      </c>
    </row>
    <row r="7" spans="1:9" ht="15.75" customHeight="1" x14ac:dyDescent="0.25">
      <c r="A7" s="7">
        <f t="shared" si="2"/>
        <v>2022</v>
      </c>
      <c r="B7" s="77">
        <v>255744.24959999998</v>
      </c>
      <c r="C7" s="78">
        <v>553000</v>
      </c>
      <c r="D7" s="78">
        <v>1026000</v>
      </c>
      <c r="E7" s="78">
        <v>854000</v>
      </c>
      <c r="F7" s="78">
        <v>664000</v>
      </c>
      <c r="G7" s="22">
        <f t="shared" si="0"/>
        <v>3097000</v>
      </c>
      <c r="H7" s="22">
        <f t="shared" si="1"/>
        <v>297800.53448101191</v>
      </c>
      <c r="I7" s="22">
        <f t="shared" si="3"/>
        <v>2799199.4655189882</v>
      </c>
    </row>
    <row r="8" spans="1:9" ht="15.75" customHeight="1" x14ac:dyDescent="0.25">
      <c r="A8" s="7">
        <f t="shared" si="2"/>
        <v>2023</v>
      </c>
      <c r="B8" s="77">
        <v>255770.22699999998</v>
      </c>
      <c r="C8" s="78">
        <v>555000</v>
      </c>
      <c r="D8" s="78">
        <v>1037000</v>
      </c>
      <c r="E8" s="78">
        <v>868000</v>
      </c>
      <c r="F8" s="78">
        <v>683000</v>
      </c>
      <c r="G8" s="22">
        <f t="shared" si="0"/>
        <v>3143000</v>
      </c>
      <c r="H8" s="22">
        <f t="shared" si="1"/>
        <v>297830.78377739503</v>
      </c>
      <c r="I8" s="22">
        <f t="shared" si="3"/>
        <v>2845169.2162226047</v>
      </c>
    </row>
    <row r="9" spans="1:9" ht="15.75" customHeight="1" x14ac:dyDescent="0.25">
      <c r="A9" s="7">
        <f t="shared" si="2"/>
        <v>2024</v>
      </c>
      <c r="B9" s="77">
        <v>255701.79479999997</v>
      </c>
      <c r="C9" s="78">
        <v>556000</v>
      </c>
      <c r="D9" s="78">
        <v>1048000</v>
      </c>
      <c r="E9" s="78">
        <v>883000</v>
      </c>
      <c r="F9" s="78">
        <v>703000</v>
      </c>
      <c r="G9" s="22">
        <f t="shared" si="0"/>
        <v>3190000</v>
      </c>
      <c r="H9" s="22">
        <f t="shared" si="1"/>
        <v>297751.09813141247</v>
      </c>
      <c r="I9" s="22">
        <f t="shared" si="3"/>
        <v>2892248.9018685874</v>
      </c>
    </row>
    <row r="10" spans="1:9" ht="15.75" customHeight="1" x14ac:dyDescent="0.25">
      <c r="A10" s="7">
        <f t="shared" si="2"/>
        <v>2025</v>
      </c>
      <c r="B10" s="77">
        <v>255518.27999999997</v>
      </c>
      <c r="C10" s="78">
        <v>557000</v>
      </c>
      <c r="D10" s="78">
        <v>1057000</v>
      </c>
      <c r="E10" s="78">
        <v>897000</v>
      </c>
      <c r="F10" s="78">
        <v>719000</v>
      </c>
      <c r="G10" s="22">
        <f t="shared" si="0"/>
        <v>3230000</v>
      </c>
      <c r="H10" s="22">
        <f t="shared" si="1"/>
        <v>297537.40493748663</v>
      </c>
      <c r="I10" s="22">
        <f t="shared" si="3"/>
        <v>2932462.5950625134</v>
      </c>
    </row>
    <row r="11" spans="1:9" ht="15.75" customHeight="1" x14ac:dyDescent="0.25">
      <c r="A11" s="7">
        <f t="shared" si="2"/>
        <v>2026</v>
      </c>
      <c r="B11" s="77">
        <v>255320.71939999997</v>
      </c>
      <c r="C11" s="78">
        <v>558000</v>
      </c>
      <c r="D11" s="78">
        <v>1064000</v>
      </c>
      <c r="E11" s="78">
        <v>913000</v>
      </c>
      <c r="F11" s="78">
        <v>737000</v>
      </c>
      <c r="G11" s="22">
        <f t="shared" si="0"/>
        <v>3272000</v>
      </c>
      <c r="H11" s="22">
        <f t="shared" si="1"/>
        <v>297307.35615881649</v>
      </c>
      <c r="I11" s="22">
        <f t="shared" si="3"/>
        <v>2974692.6438411837</v>
      </c>
    </row>
    <row r="12" spans="1:9" ht="15.75" customHeight="1" x14ac:dyDescent="0.25">
      <c r="A12" s="7">
        <f t="shared" si="2"/>
        <v>2027</v>
      </c>
      <c r="B12" s="77">
        <v>255032.48359999998</v>
      </c>
      <c r="C12" s="78">
        <v>558000</v>
      </c>
      <c r="D12" s="78">
        <v>1071000</v>
      </c>
      <c r="E12" s="78">
        <v>928000</v>
      </c>
      <c r="F12" s="78">
        <v>753000</v>
      </c>
      <c r="G12" s="22">
        <f t="shared" si="0"/>
        <v>3310000</v>
      </c>
      <c r="H12" s="22">
        <f t="shared" si="1"/>
        <v>296971.72094734717</v>
      </c>
      <c r="I12" s="22">
        <f t="shared" si="3"/>
        <v>3013028.2790526529</v>
      </c>
    </row>
    <row r="13" spans="1:9" ht="15.75" customHeight="1" x14ac:dyDescent="0.25">
      <c r="A13" s="7">
        <f t="shared" si="2"/>
        <v>2028</v>
      </c>
      <c r="B13" s="77">
        <v>254633.74439999994</v>
      </c>
      <c r="C13" s="78">
        <v>558000</v>
      </c>
      <c r="D13" s="78">
        <v>1077000</v>
      </c>
      <c r="E13" s="78">
        <v>944000</v>
      </c>
      <c r="F13" s="78">
        <v>768000</v>
      </c>
      <c r="G13" s="22">
        <f t="shared" si="0"/>
        <v>3347000</v>
      </c>
      <c r="H13" s="22">
        <f t="shared" si="1"/>
        <v>296507.41042203031</v>
      </c>
      <c r="I13" s="22">
        <f t="shared" si="3"/>
        <v>3050492.5895779696</v>
      </c>
    </row>
    <row r="14" spans="1:9" ht="15.75" customHeight="1" x14ac:dyDescent="0.25">
      <c r="A14" s="7">
        <f t="shared" si="2"/>
        <v>2029</v>
      </c>
      <c r="B14" s="77">
        <v>254105.79999999993</v>
      </c>
      <c r="C14" s="78">
        <v>558000</v>
      </c>
      <c r="D14" s="78">
        <v>1081000</v>
      </c>
      <c r="E14" s="78">
        <v>958000</v>
      </c>
      <c r="F14" s="78">
        <v>783000</v>
      </c>
      <c r="G14" s="22">
        <f t="shared" si="0"/>
        <v>3380000</v>
      </c>
      <c r="H14" s="22">
        <f t="shared" si="1"/>
        <v>295892.64733452332</v>
      </c>
      <c r="I14" s="22">
        <f t="shared" si="3"/>
        <v>3084107.3526654765</v>
      </c>
    </row>
    <row r="15" spans="1:9" ht="15.75" customHeight="1" x14ac:dyDescent="0.25">
      <c r="A15" s="7">
        <f t="shared" si="2"/>
        <v>2030</v>
      </c>
      <c r="B15" s="77">
        <v>253488.87</v>
      </c>
      <c r="C15" s="78">
        <v>560000</v>
      </c>
      <c r="D15" s="78">
        <v>1085000</v>
      </c>
      <c r="E15" s="78">
        <v>972000</v>
      </c>
      <c r="F15" s="78">
        <v>798000</v>
      </c>
      <c r="G15" s="22">
        <f t="shared" si="0"/>
        <v>3415000</v>
      </c>
      <c r="H15" s="22">
        <f t="shared" si="1"/>
        <v>295174.26526327559</v>
      </c>
      <c r="I15" s="22">
        <f t="shared" si="3"/>
        <v>3119825.7347367243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128.08913140431102</v>
      </c>
      <c r="I17" s="22">
        <f t="shared" si="4"/>
        <v>-128.08913140431102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6.6418732500000003E-3</v>
      </c>
    </row>
    <row r="4" spans="1:8" ht="15.75" customHeight="1" x14ac:dyDescent="0.25">
      <c r="B4" s="24" t="s">
        <v>7</v>
      </c>
      <c r="C4" s="79">
        <v>0.19312262265657601</v>
      </c>
    </row>
    <row r="5" spans="1:8" ht="15.75" customHeight="1" x14ac:dyDescent="0.25">
      <c r="B5" s="24" t="s">
        <v>8</v>
      </c>
      <c r="C5" s="79">
        <v>9.3753043941418285E-2</v>
      </c>
    </row>
    <row r="6" spans="1:8" ht="15.75" customHeight="1" x14ac:dyDescent="0.25">
      <c r="B6" s="24" t="s">
        <v>10</v>
      </c>
      <c r="C6" s="79">
        <v>0.12408952149511399</v>
      </c>
    </row>
    <row r="7" spans="1:8" ht="15.75" customHeight="1" x14ac:dyDescent="0.25">
      <c r="B7" s="24" t="s">
        <v>13</v>
      </c>
      <c r="C7" s="79">
        <v>0.26418885947613951</v>
      </c>
    </row>
    <row r="8" spans="1:8" ht="15.75" customHeight="1" x14ac:dyDescent="0.25">
      <c r="B8" s="24" t="s">
        <v>14</v>
      </c>
      <c r="C8" s="79">
        <v>3.58136254530716E-4</v>
      </c>
    </row>
    <row r="9" spans="1:8" ht="15.75" customHeight="1" x14ac:dyDescent="0.25">
      <c r="B9" s="24" t="s">
        <v>27</v>
      </c>
      <c r="C9" s="79">
        <v>0.16860677580322825</v>
      </c>
    </row>
    <row r="10" spans="1:8" ht="15.75" customHeight="1" x14ac:dyDescent="0.25">
      <c r="B10" s="24" t="s">
        <v>15</v>
      </c>
      <c r="C10" s="79">
        <v>0.14923916712299312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5.8087215377389499E-2</v>
      </c>
      <c r="D14" s="79">
        <v>5.8087215377389499E-2</v>
      </c>
      <c r="E14" s="79">
        <v>5.1407242454044197E-2</v>
      </c>
      <c r="F14" s="79">
        <v>5.1407242454044197E-2</v>
      </c>
    </row>
    <row r="15" spans="1:8" ht="15.75" customHeight="1" x14ac:dyDescent="0.25">
      <c r="B15" s="24" t="s">
        <v>16</v>
      </c>
      <c r="C15" s="79">
        <v>0.29823887846639602</v>
      </c>
      <c r="D15" s="79">
        <v>0.29823887846639602</v>
      </c>
      <c r="E15" s="79">
        <v>0.18182760275158799</v>
      </c>
      <c r="F15" s="79">
        <v>0.18182760275158799</v>
      </c>
    </row>
    <row r="16" spans="1:8" ht="15.75" customHeight="1" x14ac:dyDescent="0.25">
      <c r="B16" s="24" t="s">
        <v>17</v>
      </c>
      <c r="C16" s="79">
        <v>1.9650209626491701E-2</v>
      </c>
      <c r="D16" s="79">
        <v>1.9650209626491701E-2</v>
      </c>
      <c r="E16" s="79">
        <v>1.49934887722187E-2</v>
      </c>
      <c r="F16" s="79">
        <v>1.49934887722187E-2</v>
      </c>
    </row>
    <row r="17" spans="1:8" ht="15.75" customHeight="1" x14ac:dyDescent="0.25">
      <c r="B17" s="24" t="s">
        <v>18</v>
      </c>
      <c r="C17" s="79">
        <v>9.1707052445459195E-9</v>
      </c>
      <c r="D17" s="79">
        <v>9.1707052445459195E-9</v>
      </c>
      <c r="E17" s="79">
        <v>3.3369778643462497E-8</v>
      </c>
      <c r="F17" s="79">
        <v>3.3369778643462497E-8</v>
      </c>
    </row>
    <row r="18" spans="1:8" ht="15.75" customHeight="1" x14ac:dyDescent="0.25">
      <c r="B18" s="24" t="s">
        <v>19</v>
      </c>
      <c r="C18" s="79">
        <v>1.18631302415655E-4</v>
      </c>
      <c r="D18" s="79">
        <v>1.18631302415655E-4</v>
      </c>
      <c r="E18" s="79">
        <v>1.65749260116177E-4</v>
      </c>
      <c r="F18" s="79">
        <v>1.65749260116177E-4</v>
      </c>
    </row>
    <row r="19" spans="1:8" ht="15.75" customHeight="1" x14ac:dyDescent="0.25">
      <c r="B19" s="24" t="s">
        <v>20</v>
      </c>
      <c r="C19" s="79">
        <v>2.0029003770968702E-2</v>
      </c>
      <c r="D19" s="79">
        <v>2.0029003770968702E-2</v>
      </c>
      <c r="E19" s="79">
        <v>3.0083049598303799E-2</v>
      </c>
      <c r="F19" s="79">
        <v>3.0083049598303799E-2</v>
      </c>
    </row>
    <row r="20" spans="1:8" ht="15.75" customHeight="1" x14ac:dyDescent="0.25">
      <c r="B20" s="24" t="s">
        <v>21</v>
      </c>
      <c r="C20" s="79">
        <v>1.9520521475222301E-2</v>
      </c>
      <c r="D20" s="79">
        <v>1.9520521475222301E-2</v>
      </c>
      <c r="E20" s="79">
        <v>0.130371099073085</v>
      </c>
      <c r="F20" s="79">
        <v>0.130371099073085</v>
      </c>
    </row>
    <row r="21" spans="1:8" ht="15.75" customHeight="1" x14ac:dyDescent="0.25">
      <c r="B21" s="24" t="s">
        <v>22</v>
      </c>
      <c r="C21" s="79">
        <v>0.115839474852986</v>
      </c>
      <c r="D21" s="79">
        <v>0.115839474852986</v>
      </c>
      <c r="E21" s="79">
        <v>0.22456145642234901</v>
      </c>
      <c r="F21" s="79">
        <v>0.22456145642234901</v>
      </c>
    </row>
    <row r="22" spans="1:8" ht="15.75" customHeight="1" x14ac:dyDescent="0.25">
      <c r="B22" s="24" t="s">
        <v>23</v>
      </c>
      <c r="C22" s="79">
        <v>0.46851605595742485</v>
      </c>
      <c r="D22" s="79">
        <v>0.46851605595742485</v>
      </c>
      <c r="E22" s="79">
        <v>0.36659027829851643</v>
      </c>
      <c r="F22" s="79">
        <v>0.36659027829851643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6.8099999999999994E-2</v>
      </c>
    </row>
    <row r="27" spans="1:8" ht="15.75" customHeight="1" x14ac:dyDescent="0.25">
      <c r="B27" s="24" t="s">
        <v>39</v>
      </c>
      <c r="C27" s="79">
        <v>4.1399999999999999E-2</v>
      </c>
    </row>
    <row r="28" spans="1:8" ht="15.75" customHeight="1" x14ac:dyDescent="0.25">
      <c r="B28" s="24" t="s">
        <v>40</v>
      </c>
      <c r="C28" s="79">
        <v>0.33340000000000003</v>
      </c>
    </row>
    <row r="29" spans="1:8" ht="15.75" customHeight="1" x14ac:dyDescent="0.25">
      <c r="B29" s="24" t="s">
        <v>41</v>
      </c>
      <c r="C29" s="79">
        <v>0.129</v>
      </c>
    </row>
    <row r="30" spans="1:8" ht="15.75" customHeight="1" x14ac:dyDescent="0.25">
      <c r="B30" s="24" t="s">
        <v>42</v>
      </c>
      <c r="C30" s="79">
        <v>9.0399999999999994E-2</v>
      </c>
    </row>
    <row r="31" spans="1:8" ht="15.75" customHeight="1" x14ac:dyDescent="0.25">
      <c r="B31" s="24" t="s">
        <v>43</v>
      </c>
      <c r="C31" s="79">
        <v>5.0900000000000001E-2</v>
      </c>
    </row>
    <row r="32" spans="1:8" ht="15.75" customHeight="1" x14ac:dyDescent="0.25">
      <c r="B32" s="24" t="s">
        <v>44</v>
      </c>
      <c r="C32" s="79">
        <v>1.0500000000000001E-2</v>
      </c>
    </row>
    <row r="33" spans="2:3" ht="15.75" customHeight="1" x14ac:dyDescent="0.25">
      <c r="B33" s="24" t="s">
        <v>45</v>
      </c>
      <c r="C33" s="79">
        <v>8.3499999999999991E-2</v>
      </c>
    </row>
    <row r="34" spans="2:3" ht="15.75" customHeight="1" x14ac:dyDescent="0.25">
      <c r="B34" s="24" t="s">
        <v>46</v>
      </c>
      <c r="C34" s="79">
        <v>0.19279999999776481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0.71350222879502578</v>
      </c>
      <c r="D2" s="80">
        <v>0.71350222879502578</v>
      </c>
      <c r="E2" s="80">
        <v>0.67566930993524121</v>
      </c>
      <c r="F2" s="80">
        <v>0.48205972218992948</v>
      </c>
      <c r="G2" s="80">
        <v>0.3983711930839382</v>
      </c>
    </row>
    <row r="3" spans="1:15" ht="15.75" customHeight="1" x14ac:dyDescent="0.25">
      <c r="A3" s="5"/>
      <c r="B3" s="11" t="s">
        <v>118</v>
      </c>
      <c r="C3" s="80">
        <v>0.2301956095820448</v>
      </c>
      <c r="D3" s="80">
        <v>0.2301956095820448</v>
      </c>
      <c r="E3" s="80">
        <v>0.23298941721904873</v>
      </c>
      <c r="F3" s="80">
        <v>0.35142962960608765</v>
      </c>
      <c r="G3" s="80">
        <v>0.40187592498790242</v>
      </c>
    </row>
    <row r="4" spans="1:15" ht="15.75" customHeight="1" x14ac:dyDescent="0.25">
      <c r="A4" s="5"/>
      <c r="B4" s="11" t="s">
        <v>116</v>
      </c>
      <c r="C4" s="81">
        <v>3.2942754141075746E-2</v>
      </c>
      <c r="D4" s="81">
        <v>3.2942754141075746E-2</v>
      </c>
      <c r="E4" s="81">
        <v>6.7981865363856295E-2</v>
      </c>
      <c r="F4" s="81">
        <v>0.10571629283454308</v>
      </c>
      <c r="G4" s="81">
        <v>0.13895852655871954</v>
      </c>
    </row>
    <row r="5" spans="1:15" ht="15.75" customHeight="1" x14ac:dyDescent="0.25">
      <c r="A5" s="5"/>
      <c r="B5" s="11" t="s">
        <v>119</v>
      </c>
      <c r="C5" s="81">
        <v>2.3359407481853708E-2</v>
      </c>
      <c r="D5" s="81">
        <v>2.3359407481853708E-2</v>
      </c>
      <c r="E5" s="81">
        <v>2.3359407481853708E-2</v>
      </c>
      <c r="F5" s="81">
        <v>6.0794355369439793E-2</v>
      </c>
      <c r="G5" s="81">
        <v>6.0794355369439793E-2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0.8614375629288703</v>
      </c>
      <c r="D8" s="80">
        <v>0.8614375629288703</v>
      </c>
      <c r="E8" s="80">
        <v>0.92864239721002062</v>
      </c>
      <c r="F8" s="80">
        <v>0.93566919673237992</v>
      </c>
      <c r="G8" s="80">
        <v>0.95193983789246217</v>
      </c>
    </row>
    <row r="9" spans="1:15" ht="15.75" customHeight="1" x14ac:dyDescent="0.25">
      <c r="B9" s="7" t="s">
        <v>121</v>
      </c>
      <c r="C9" s="80">
        <v>7.8670097071129721E-2</v>
      </c>
      <c r="D9" s="80">
        <v>7.8670097071129721E-2</v>
      </c>
      <c r="E9" s="80">
        <v>6.1774466989979557E-2</v>
      </c>
      <c r="F9" s="80">
        <v>4.6131600267620025E-2</v>
      </c>
      <c r="G9" s="80">
        <v>3.163247644087102E-2</v>
      </c>
    </row>
    <row r="10" spans="1:15" ht="15.75" customHeight="1" x14ac:dyDescent="0.25">
      <c r="B10" s="7" t="s">
        <v>122</v>
      </c>
      <c r="C10" s="81">
        <v>2.1111364999999997E-2</v>
      </c>
      <c r="D10" s="81">
        <v>2.1111364999999997E-2</v>
      </c>
      <c r="E10" s="81">
        <v>5.8453120999999997E-3</v>
      </c>
      <c r="F10" s="81">
        <v>1.08395856E-2</v>
      </c>
      <c r="G10" s="81">
        <v>1.0000700833333336E-2</v>
      </c>
    </row>
    <row r="11" spans="1:15" ht="15.75" customHeight="1" x14ac:dyDescent="0.25">
      <c r="B11" s="7" t="s">
        <v>123</v>
      </c>
      <c r="C11" s="81">
        <v>3.8780975000000002E-2</v>
      </c>
      <c r="D11" s="81">
        <v>3.8780975000000002E-2</v>
      </c>
      <c r="E11" s="81">
        <v>3.7378236999999997E-3</v>
      </c>
      <c r="F11" s="81">
        <v>7.3596174000000007E-3</v>
      </c>
      <c r="G11" s="81">
        <v>6.4269848333333322E-3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0.81728989924999995</v>
      </c>
      <c r="D14" s="82">
        <v>0.77722719937100004</v>
      </c>
      <c r="E14" s="82">
        <v>0.77722719937100004</v>
      </c>
      <c r="F14" s="82">
        <v>0.50306668461399995</v>
      </c>
      <c r="G14" s="82">
        <v>0.50306668461399995</v>
      </c>
      <c r="H14" s="83">
        <v>0.24600000000000002</v>
      </c>
      <c r="I14" s="83">
        <v>0.48626109660574413</v>
      </c>
      <c r="J14" s="83">
        <v>0.49528981723237597</v>
      </c>
      <c r="K14" s="83">
        <v>0.5120574412532638</v>
      </c>
      <c r="L14" s="83">
        <v>0.29219585348499999</v>
      </c>
      <c r="M14" s="83">
        <v>0.27324428068700002</v>
      </c>
      <c r="N14" s="83">
        <v>0.289641404825</v>
      </c>
      <c r="O14" s="83">
        <v>0.35419980256350003</v>
      </c>
    </row>
    <row r="15" spans="1:15" ht="15.75" customHeight="1" x14ac:dyDescent="0.25">
      <c r="B15" s="16" t="s">
        <v>68</v>
      </c>
      <c r="C15" s="80">
        <f>iron_deficiency_anaemia*C14</f>
        <v>0.38544722422278788</v>
      </c>
      <c r="D15" s="80">
        <f t="shared" ref="D15:O15" si="0">iron_deficiency_anaemia*D14</f>
        <v>0.36655300262846524</v>
      </c>
      <c r="E15" s="80">
        <f t="shared" si="0"/>
        <v>0.36655300262846524</v>
      </c>
      <c r="F15" s="80">
        <f t="shared" si="0"/>
        <v>0.23725443977879548</v>
      </c>
      <c r="G15" s="80">
        <f t="shared" si="0"/>
        <v>0.23725443977879548</v>
      </c>
      <c r="H15" s="80">
        <f t="shared" si="0"/>
        <v>0.11601760555932361</v>
      </c>
      <c r="I15" s="80">
        <f t="shared" si="0"/>
        <v>0.22932865083272103</v>
      </c>
      <c r="J15" s="80">
        <f t="shared" si="0"/>
        <v>0.233586742492745</v>
      </c>
      <c r="K15" s="80">
        <f t="shared" si="0"/>
        <v>0.2414946270042182</v>
      </c>
      <c r="L15" s="80">
        <f t="shared" si="0"/>
        <v>0.13780432225891318</v>
      </c>
      <c r="M15" s="80">
        <f t="shared" si="0"/>
        <v>0.12886645194343688</v>
      </c>
      <c r="N15" s="80">
        <f t="shared" si="0"/>
        <v>0.13659960267737895</v>
      </c>
      <c r="O15" s="80">
        <f t="shared" si="0"/>
        <v>0.16704639423984732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0.61199999999999999</v>
      </c>
      <c r="D2" s="81">
        <v>0.61199999999999999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9.8000000000000004E-2</v>
      </c>
      <c r="D3" s="81">
        <v>9.6000000000000002E-2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</v>
      </c>
      <c r="D4" s="81">
        <v>0.11</v>
      </c>
      <c r="E4" s="81">
        <v>0.72199999999999998</v>
      </c>
      <c r="F4" s="81">
        <v>0.91500000000000004</v>
      </c>
      <c r="G4" s="81">
        <v>0</v>
      </c>
    </row>
    <row r="5" spans="1:7" x14ac:dyDescent="0.25">
      <c r="B5" s="43" t="s">
        <v>169</v>
      </c>
      <c r="C5" s="80">
        <f>1-SUM(C2:C4)</f>
        <v>0.18000000000000005</v>
      </c>
      <c r="D5" s="80">
        <f>1-SUM(D2:D4)</f>
        <v>0.18200000000000005</v>
      </c>
      <c r="E5" s="80">
        <f>1-SUM(E2:E4)</f>
        <v>0.27800000000000002</v>
      </c>
      <c r="F5" s="80">
        <f>1-SUM(F2:F4)</f>
        <v>8.4999999999999964E-2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0.17614000000000002</v>
      </c>
      <c r="D2" s="144">
        <v>0.16849</v>
      </c>
      <c r="E2" s="144">
        <v>0.16103999999999999</v>
      </c>
      <c r="F2" s="144">
        <v>0.15384999999999999</v>
      </c>
      <c r="G2" s="144">
        <v>0.14688000000000001</v>
      </c>
      <c r="H2" s="144">
        <v>0.14015</v>
      </c>
      <c r="I2" s="144">
        <v>0.13371</v>
      </c>
      <c r="J2" s="144">
        <v>0.12756999999999999</v>
      </c>
      <c r="K2" s="144">
        <v>0.1217</v>
      </c>
      <c r="L2" s="144">
        <v>0.11609999999999999</v>
      </c>
      <c r="M2" s="144">
        <v>0.11076999999999999</v>
      </c>
      <c r="N2" s="144">
        <v>0.10567</v>
      </c>
      <c r="O2" s="144">
        <v>0.10082000000000001</v>
      </c>
      <c r="P2" s="144">
        <v>9.6189999999999998E-2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1.355E-2</v>
      </c>
      <c r="D4" s="144">
        <v>1.321E-2</v>
      </c>
      <c r="E4" s="144">
        <v>1.291E-2</v>
      </c>
      <c r="F4" s="144">
        <v>1.2619999999999999E-2</v>
      </c>
      <c r="G4" s="144">
        <v>1.2350000000000002E-2</v>
      </c>
      <c r="H4" s="144">
        <v>1.2119999999999999E-2</v>
      </c>
      <c r="I4" s="144">
        <v>1.1899999999999999E-2</v>
      </c>
      <c r="J4" s="144">
        <v>1.1679999999999999E-2</v>
      </c>
      <c r="K4" s="144">
        <v>1.1470000000000001E-2</v>
      </c>
      <c r="L4" s="144">
        <v>1.1259999999999999E-2</v>
      </c>
      <c r="M4" s="144">
        <v>1.106E-2</v>
      </c>
      <c r="N4" s="144">
        <v>1.0869999999999999E-2</v>
      </c>
      <c r="O4" s="144">
        <v>1.068E-2</v>
      </c>
      <c r="P4" s="144">
        <v>1.0500000000000001E-2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0.26342905604196815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0.21783394945981316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0.14326131714003423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0.61199999999999999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0.85066666666666668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29.573</v>
      </c>
      <c r="D13" s="143">
        <v>28.437999999999999</v>
      </c>
      <c r="E13" s="143">
        <v>27.404</v>
      </c>
      <c r="F13" s="143">
        <v>26.452000000000002</v>
      </c>
      <c r="G13" s="143">
        <v>25.556999999999999</v>
      </c>
      <c r="H13" s="143">
        <v>24.719000000000001</v>
      </c>
      <c r="I13" s="143">
        <v>23.919</v>
      </c>
      <c r="J13" s="143">
        <v>23.164000000000001</v>
      </c>
      <c r="K13" s="143">
        <v>22.443000000000001</v>
      </c>
      <c r="L13" s="143">
        <v>21.754999999999999</v>
      </c>
      <c r="M13" s="143">
        <v>21.120999999999999</v>
      </c>
      <c r="N13" s="143">
        <v>20.492000000000001</v>
      </c>
      <c r="O13" s="143">
        <v>19.911999999999999</v>
      </c>
      <c r="P13" s="143">
        <v>19.349</v>
      </c>
    </row>
    <row r="14" spans="1:16" x14ac:dyDescent="0.25">
      <c r="B14" s="16" t="s">
        <v>170</v>
      </c>
      <c r="C14" s="143">
        <f>maternal_mortality</f>
        <v>2.06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0.36399999999999999</v>
      </c>
      <c r="E2" s="92">
        <f>food_insecure</f>
        <v>0.36399999999999999</v>
      </c>
      <c r="F2" s="92">
        <f>food_insecure</f>
        <v>0.36399999999999999</v>
      </c>
      <c r="G2" s="92">
        <f>food_insecure</f>
        <v>0.36399999999999999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0.36399999999999999</v>
      </c>
      <c r="F5" s="92">
        <f>food_insecure</f>
        <v>0.36399999999999999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0.10448861502519231</v>
      </c>
      <c r="D7" s="92">
        <f>diarrhoea_1_5mo/26</f>
        <v>0.1004798316519227</v>
      </c>
      <c r="E7" s="92">
        <f>diarrhoea_6_11mo/26</f>
        <v>0.1004798316519227</v>
      </c>
      <c r="F7" s="92">
        <f>diarrhoea_12_23mo/26</f>
        <v>7.922778860269232E-2</v>
      </c>
      <c r="G7" s="92">
        <f>diarrhoea_24_59mo/26</f>
        <v>7.922778860269232E-2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0.36399999999999999</v>
      </c>
      <c r="F8" s="92">
        <f>food_insecure</f>
        <v>0.36399999999999999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0.61599999999999999</v>
      </c>
      <c r="E9" s="92">
        <f>IF(ISBLANK(comm_deliv), frac_children_health_facility,1)</f>
        <v>0.61599999999999999</v>
      </c>
      <c r="F9" s="92">
        <f>IF(ISBLANK(comm_deliv), frac_children_health_facility,1)</f>
        <v>0.61599999999999999</v>
      </c>
      <c r="G9" s="92">
        <f>IF(ISBLANK(comm_deliv), frac_children_health_facility,1)</f>
        <v>0.61599999999999999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0.10448861502519231</v>
      </c>
      <c r="D11" s="92">
        <f>diarrhoea_1_5mo/26</f>
        <v>0.1004798316519227</v>
      </c>
      <c r="E11" s="92">
        <f>diarrhoea_6_11mo/26</f>
        <v>0.1004798316519227</v>
      </c>
      <c r="F11" s="92">
        <f>diarrhoea_12_23mo/26</f>
        <v>7.922778860269232E-2</v>
      </c>
      <c r="G11" s="92">
        <f>diarrhoea_24_59mo/26</f>
        <v>7.922778860269232E-2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0.36399999999999999</v>
      </c>
      <c r="I14" s="92">
        <f>food_insecure</f>
        <v>0.36399999999999999</v>
      </c>
      <c r="J14" s="92">
        <f>food_insecure</f>
        <v>0.36399999999999999</v>
      </c>
      <c r="K14" s="92">
        <f>food_insecure</f>
        <v>0.36399999999999999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0.85599999999999998</v>
      </c>
      <c r="I17" s="92">
        <f>frac_PW_health_facility</f>
        <v>0.85599999999999998</v>
      </c>
      <c r="J17" s="92">
        <f>frac_PW_health_facility</f>
        <v>0.85599999999999998</v>
      </c>
      <c r="K17" s="92">
        <f>frac_PW_health_facility</f>
        <v>0.85599999999999998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0.57200000000000006</v>
      </c>
      <c r="M23" s="92">
        <f>famplan_unmet_need</f>
        <v>0.57200000000000006</v>
      </c>
      <c r="N23" s="92">
        <f>famplan_unmet_need</f>
        <v>0.57200000000000006</v>
      </c>
      <c r="O23" s="92">
        <f>famplan_unmet_need</f>
        <v>0.57200000000000006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0.12611773289489725</v>
      </c>
      <c r="M24" s="92">
        <f>(1-food_insecure)*(0.49)+food_insecure*(0.7)</f>
        <v>0.56643999999999994</v>
      </c>
      <c r="N24" s="92">
        <f>(1-food_insecure)*(0.49)+food_insecure*(0.7)</f>
        <v>0.56643999999999994</v>
      </c>
      <c r="O24" s="92">
        <f>(1-food_insecure)*(0.49)+food_insecure*(0.7)</f>
        <v>0.56643999999999994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5.4050456954955958E-2</v>
      </c>
      <c r="M25" s="92">
        <f>(1-food_insecure)*(0.21)+food_insecure*(0.3)</f>
        <v>0.24275999999999998</v>
      </c>
      <c r="N25" s="92">
        <f>(1-food_insecure)*(0.21)+food_insecure*(0.3)</f>
        <v>0.24275999999999998</v>
      </c>
      <c r="O25" s="92">
        <f>(1-food_insecure)*(0.21)+food_insecure*(0.3)</f>
        <v>0.24275999999999998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4.2481575164794852E-2</v>
      </c>
      <c r="M26" s="92">
        <f>(1-food_insecure)*(0.3)</f>
        <v>0.1908</v>
      </c>
      <c r="N26" s="92">
        <f>(1-food_insecure)*(0.3)</f>
        <v>0.1908</v>
      </c>
      <c r="O26" s="92">
        <f>(1-food_insecure)*(0.3)</f>
        <v>0.1908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0.77735023498535194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2020-03-24T06:48:34Z</dcterms:modified>
</cp:coreProperties>
</file>