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F461BA20-BDDA-4632-A49E-B26D40AAD5F9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6" i="2" s="1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H11" i="2"/>
  <c r="H12" i="2"/>
  <c r="H13" i="2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18" i="2"/>
  <c r="I27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24" i="2"/>
  <c r="A18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38" i="2"/>
  <c r="C8" i="51" l="1"/>
  <c r="C7" i="51"/>
  <c r="C6" i="51"/>
  <c r="I15" i="2"/>
  <c r="I13" i="2"/>
  <c r="I12" i="2"/>
  <c r="I11" i="2"/>
  <c r="I10" i="2"/>
  <c r="I9" i="2"/>
  <c r="I8" i="2"/>
  <c r="I7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43B22B80-89D3-461D-89E7-E50319B7529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985B31A5-B2B1-41EA-88F8-3415EA9442A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2A5AC503-8AFE-4E67-A878-726C9A0C90D2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42A6A78E-8DD9-44C4-BCD9-F89E5764A2F0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1321BC80-E5DA-41C6-8DF7-BABE9A44313E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7BFF5295-7E7D-4D3C-B85C-2A6CE3895C85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021B0746-51BE-4F5B-8B95-309C7DFA5C6C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49E0CE91-53FC-4351-BB48-672BE18605C2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269672BA-6AB7-483E-AA62-7F11D3C6FF5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1EACEB9F-E0C9-4B2F-B819-BAC577479C1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7609366A-4C02-4FD6-BD50-B4F93FF24D1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8D86575D-7FFE-49B6-B13E-5DDBABC6185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94564D08-DB62-40F0-9A5A-A40A02EA196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D2696FF8-C1BB-40ED-A331-C29EDBBB7DC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310B4271-E58F-416B-8C94-695A31C4600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A4EC602F-6689-4C6A-90BF-D6CA8B335F6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E3D94195-8253-491F-9883-0818AA118D7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6E7C10DC-C41F-4A11-AA02-73AB67BC222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55764B1A-AAA0-40E5-8AA5-61AD11F875C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04BFD62B-FDEC-4565-BD2B-222628594A1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8E511D05-A488-4C44-8E67-7B00FB65ED9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892F6C0E-F279-498D-A5D5-7D18D1F0ACCE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F02DEABE-072F-4622-A362-0AF82685B653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A0ADA19B-D35F-4FD7-AF64-9633D42CBF40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17FC6FA1-BD45-4683-9C04-A49727C94EA3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569CEF23-177F-48CC-BC88-37FF85168642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9A5E7D12-F8FE-48DD-91E3-DF29C76B3612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C9D6E2CD-A878-407D-A325-1CB28CD83745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13C4856A-7432-4EDA-A553-D5F5F81012F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7A3FE9F8-03B1-42AE-A4B5-A1DB0A4A0EC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92755131-E21F-48D9-B8AB-BADDD4D8C94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0F6A2317-D3C3-4BC0-94AB-2FAF05AA26A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EC8C7751-BFDE-4F57-8BCA-E9203AE6968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8E536042-639A-4CAB-9813-4C2E3B7AE392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89535BBA-7786-489C-9CEB-2432638ECD93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037983E8-DA9D-47AF-9928-8E09463D866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4941C53F-991E-4FFA-91B2-5AFD14E741D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FBFB1512-8AC7-4EDC-80E9-CF9B31D7BC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92B626B6-BA7E-4869-A5D5-54C7C9C58D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E685F381-2F53-484B-862E-4AA6F7749D5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213BC09D-A1F5-4B1C-B454-23DC0E2FB3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11382011-E054-4B42-9CE1-BC380D2D3B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907AF079-EFFF-4B4E-879C-2D09E0B32C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1AF01F40-5F06-4287-9075-C6523F8A3F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1DD497E3-EB2E-49A3-AB64-AAD303C23BC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1FBA0EE1-8D4A-4B96-A2CA-C2C4F7E14B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A45AB160-A169-4759-B9EF-C8031AD022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47030D54-82E2-4FDB-903D-A99862767A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C9D839A1-E0ED-47D3-B0D4-6472453006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3E57D459-5617-47BF-8E78-02BBE117D7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9BF875BA-8969-4D90-B9A4-E56D30E8D0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D990DEFF-9D44-4408-AE8B-E403C384D6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9E18BA9D-D2DE-4C2F-93F1-4418145742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00CA5D40-D8AD-4BE8-BB2E-16E3501378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FEB220A1-CC9D-4B3E-9342-13D83EDC75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16D24F89-FF97-4F3C-98A8-5B38BDECF6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3AB1EEBD-04D1-4BC8-99C7-D20E66E4B1B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B124965C-0961-46D3-B641-D9B1FC4FD5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965DEB1F-0597-4D22-B1A0-1EE2786418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1BA78F1B-62FF-42D4-AAC6-7E1162849B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45869631-F651-4464-8297-0E7E08E6DC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392441C5-9998-4B5B-9623-AA09ABE82C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4C2225D0-110E-4688-A29D-35B19034AE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446FDF28-86BB-4682-9BF7-6EBDB14F5BD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40841360-4CF1-4413-8E2F-2B92731733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EBBBBEC8-5725-4481-BE14-6F2583DEBC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A0CD1BF9-F498-49F9-A72C-DB131269C0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36B6B2DB-48BA-4C82-8B65-303E9F6A44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1C014A93-10E8-4800-A70A-025CCEBCE76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1BFB4468-0AAC-43EE-95CB-931BE8739E2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4AF31EEE-E59B-4F7D-A126-A2EF76E4C98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36A3B182-0D76-41AE-B311-1A17685BE0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ED9187CA-CEF3-4514-BFEB-62953D82E3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6A7D16B2-A022-425E-AAD4-E2B543CE551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A3231CB9-6D71-4820-95D2-4EA97FB37B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6E2AFAE9-C03E-47B4-A781-A12D84CCE21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B249BC3E-2952-431E-A46A-F930CECBC3F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1FCAEC45-E943-4122-9D7F-E18117DD70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BD487B94-76ED-479C-83BA-295D7013A4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0963B85D-7783-4024-968C-4B22974E97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4EAFB427-1EBC-4C10-88AB-2ECF9D0D01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3DE0B539-2507-4C16-84C2-49127BE1822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B90F23B6-2F66-436F-BF93-4D97D69D2D9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C56369ED-3794-42D8-8B79-43AAE9C2217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562CE6E6-CFD9-42C9-8132-958C0402E2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32867697-DE15-449C-94F6-1ECA63685AF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CB422907-7284-4EC3-9399-D68379E1849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140A55AB-BFC0-4CF5-91E0-97B65DB19D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EA13B421-B2DE-4F1F-A733-3317647C99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8A976F7B-9EAD-42E5-85E5-9660C78C25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EE4213B4-E60F-4F13-80E8-8F0B3AE78FA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06D59FB7-9839-443C-B6AA-F2A92538C8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734DE1F3-6E16-4B6A-A4E4-2FFEA446969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07007DD7-8DAF-4E0D-95A1-3CF230D5B88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37C8310E-9D85-48D3-8D1F-6178CB573D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3FC997E0-A040-4ED4-8959-8EFE2E865D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E5359D5F-D286-4167-9ED8-61C72C5501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88BC71AB-55D8-4C1B-A697-939E0DE3E1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8688BD0D-1F1D-4BCC-B868-7067E95FE3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84A2A064-1649-4142-8BAE-83FCD34236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BDA8B5B1-C610-453D-9D14-FEA7D5B018A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CA9B3E93-5139-4F93-BB03-545ED0328B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41D3A1CE-559D-4C7B-8867-7FD86A6E7A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B2B9AF04-0488-4CBB-9603-EE5DF859268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EE94BF96-A363-40CC-B377-703F6AEC722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7DE7C32B-9B4C-4932-B849-C6090B451F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717C7BDD-799F-4E65-B565-3EA961DDDC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EC2E63DC-33B5-467C-8150-4193E09360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DF523E81-A60C-4BD9-95BA-4F10B3E0D46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E8D6C85E-68DE-4055-92DE-BB8AF3D8CD5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4F5632DB-1710-40EF-A9B7-3EF4BB8133B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F4CEB120-F177-4378-90CA-A1DF220B06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FDE2B0CB-52B9-490C-A9D1-0355027AD63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1205CC87-90D2-4233-BE10-9A20397A5C1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3A52CF2A-CBE4-4F8E-B1A3-37AEA9589BE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0366A821-9EEB-475B-8DC5-3BAE7693035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BA6D4136-08AC-4C3A-AB7E-42384EA840E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43F5436A-A205-41AC-82BD-B7349D12DA1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9968245B-A577-46B2-A427-7BB1E9F430D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11577215-13C6-411C-9972-F05A63F6F58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3E44ADBA-A15C-40D1-8C8F-F2E25FC2793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CE77AFAB-B620-4C87-9C6B-34E3E115865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41871BEC-0F91-485D-A322-1D9FE3764B4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002ABC15-8C40-4409-92A6-560064A64F3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2CA566E5-E0D9-420B-9C24-C1360708226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7B82ED0A-DCF4-4243-BF9C-32D44B40892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14BB829F-69C5-4D98-8E53-6451FA13C35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A5BF3338-D419-4C58-B78F-10E83C639DD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090AB4E7-FB3C-4CDD-BAEB-E803F5FE178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37B1DB9A-422B-49C7-9F2D-737A9E32775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BC22AD32-627F-437F-9651-46807E955BA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6B348FA0-72D3-4C51-BC12-48DB71202F7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12E8765F-29A3-41D1-8DCC-D0BE1287AB3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9D19C2C7-228E-4E16-8CBD-77D97428E1C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7A778541-ACDD-4649-A996-771C8639029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7DBCAFB3-59A0-4CB3-A8E3-F8C75C1C247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ADF83DD2-438A-4A0D-A0DA-E1A9A72CD5C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2F9AA926-2074-4B16-B239-E36A0C7FF85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4B71A303-FF92-4439-99ED-E0FB5585959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82FFEA17-3518-4A1B-AFEF-AA330E8C5EF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D8ABE27A-43ED-409F-A201-EDD7014382A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29D5E760-2373-464C-BAB8-6A1D3A54AEA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3DBA8C8D-04AF-4570-9A61-D0A5B7F74EC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E1A57F53-842C-4402-9A30-A7E202F4B18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1DD04D94-130D-463D-825D-DE16B30EA18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9C172433-C348-4130-8520-A0D1EAB2BE2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B4CFC896-743A-4DE7-A2C8-A6665821CDB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7FEE7B39-A82B-442B-943E-FF764D4304C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7DF9FE28-D793-483C-8DEC-1053DBABE13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7F6C32E7-251F-44BF-8C8B-03460754FFA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649C5B94-12DD-4328-8D16-30148036208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07B4F839-DF32-494B-990B-02F8DBEFC2C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C73646EF-F9B4-4DED-A02D-86604794673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EA16C8B2-BB24-45CA-9118-5C95C7CA3EE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59EBCEDF-3A08-48B9-A9E5-1F02B77E804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1C7ADC3C-9F19-49D7-ADCA-33E0B400AF4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9B2D6CC8-1F53-46CE-837C-30B1324272C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56286037-A986-4ACA-B7ED-741B4253E39A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890F615A-9FC6-4BE6-A49F-C60F058DC60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158AF5CA-1205-448B-AA9D-16F6EF2133F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CB461270-F7ED-416D-8CC8-1FFA39013DA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75E0F531-55EA-4AC5-9E47-82712FFF188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276E347D-4FCB-405A-BDBB-7D715F3F85C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FD1A3B77-2D75-4722-8742-47D0054A26A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F760D8B6-FB3D-4872-9860-E1DB5458C46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37FC3EF2-A0EC-426C-8D64-EF5665848A8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846AC751-8D19-44EF-8328-7233504E768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FF33EB7A-8DCA-40AA-9B4E-6994BB804F2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1D891589-6853-40DF-A9A1-1D531A2A067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A11C4346-D3A9-4E0A-8A10-23E4051E1F7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9C4F2F29-467C-43BE-B160-B7998833CB4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E7E5327C-675E-4F4A-800F-02D9401EFAE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7E5F655C-EF8A-4F63-BDCE-5467812DBAF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916D9551-B3C8-47F7-9476-29D16F842EF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AE44B881-7195-4704-893B-AEAB607F18C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93E72AAC-DA67-4525-8C40-E1FD5A70B10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0F5C2EC3-4DBB-41E8-B4F1-01DE778A86F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90C2492E-4FF8-474C-A49E-0A52F0FAA02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64CE8ED2-7457-4187-B028-8899447CFB8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785AF9B4-8566-4811-84CF-678A5A84EC5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371D1E2D-65F3-407A-BAD4-2FE9DDC5D61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2D225F91-D2F1-4FEA-91FB-D1DCE255843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53C791BC-C831-424E-A371-6E0D7EDA9B7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9C20F2CC-D53C-4E51-9C4E-EB2B359B957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B70FB1C3-7E0F-4A7A-84D5-2B04AD6433A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448D8D8F-5408-4470-8EBA-F7B3801417A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D65BF8AE-ED1D-46C2-849F-8A84FDA6961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22AAB39B-E947-486B-BDDC-54A5693F1ED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B5FAE51F-4DBB-4DBF-AD46-A18B3B03186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3E57B325-F9A5-4199-B7E6-8D9F761F38A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5180CB54-3022-43BD-B64B-30407DCFEC7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DC6F1DD9-7C5D-43EA-9A00-E80855FE4F2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75E3A4F0-B734-4C3B-A2BF-496D8C9504D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E483BF79-1B06-43A1-A354-914F5197BF2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FD42FE4B-B65B-45AA-BBF7-2141C7ACB53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59AC32DC-8C3D-4D66-AA66-27BF9286CDA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8FEE1A3E-9E2F-488A-95D9-1899EFE3DD3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C71AA4D6-2D7F-46B3-82F2-D9BC3094D47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515D9696-3C73-4B17-839D-5AAEFD3D354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723C7CA3-4AD2-4A6F-A6FB-031B77D54B9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10FF547F-A481-4A7C-B733-AC1470E922A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7EF27062-6871-4626-B87F-4129569417D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DDD48181-206D-4614-9FF0-84CB2CFC593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38EBF32D-B6AD-4597-B68E-EB45C9D5360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E860E178-9AAB-4484-BF0C-0AE70D6960F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0710517E-2E67-4534-A63D-0FAFE1956C2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88CDB9DF-4461-4F7D-904D-EE7490456CD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6C825393-C4DA-4526-B07D-562021F8CAE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7EB200D8-738B-4200-A9AC-63FDEEFDC96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A3F46B53-3FF0-4E97-9787-3606821014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640105BD-4E24-47F1-B903-3007246C49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E7015434-22BB-4A40-B7E0-2DC03913776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BA3A4706-FABB-4D3D-BD06-ECAA9E69017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78EBA2B4-B419-4373-A4CF-437CE6246DFC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78FC791B-6FAE-4707-8C40-022D3B0FAFC9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6B212794-E6CC-48E0-9D74-A45EE4AD0255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7F30A12C-BDD5-4639-9086-49F07EDF33D8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ACF4339D-35A3-4BE6-ACF5-AA4527267C03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04CE64D0-9D9B-46F8-BAD5-3E3D63F5A5F2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1494F945-B47A-41E4-950C-1B74680E6D7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CA36D5D5-5AAF-41F3-97A1-AC198237B9D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2A457D80-2091-4946-B90D-5B77C916DD2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9D38BE8F-5CD2-49AC-91A9-8915CD233A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E60024B7-A841-4A1B-912C-49A01401B27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3B36B5D5-484E-4A7E-B9EA-F6BDF018BF2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1DE3F73A-23DC-4A42-967E-4D058C2147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85ED594D-23C6-451E-9422-B61B6D90D81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D471A211-1CB2-41DE-9C20-568382485E0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7ECC8F0F-DBC6-4BA0-9D44-4A0B69087C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1C0A20FF-4259-4188-8684-FE6400240F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731693F2-7AB4-4784-A867-CA89081CFB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753D9FC9-CEFC-43F2-804D-0E96A18DD9A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2EAD7113-67F9-49B8-814D-ED15DE545F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C58ADC37-E755-4159-AD4A-BC468A6FDAC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C5D4A12E-DCE1-4665-BDE4-069294945F8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575CAE10-A67A-4BC4-ABC2-C649AD76B8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706DB093-9198-4193-8F7A-B41B5518092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9782C012-D341-4DFB-90A4-7CDE6EED702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E714BC73-2E98-4181-9EF2-79EF300E09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43F0E240-FC1D-4130-A903-67EA96985EE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85E14CDE-12EE-4A52-80DD-611C81CD785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3CF2F4EC-FF13-44C2-890D-8769B468013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9510F509-A1CD-4D46-93A0-59E27BB046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758EDA88-D78D-40D2-81A8-42F7A1E256E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EC89B162-BBBD-4250-BFBE-321035C5A1B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F40339A1-11E4-44B6-8B09-616507937D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6451C95D-01F0-4EAB-8D1E-0872DD0A69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9DC8993A-82F3-429F-ADE7-BF7FD254B70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3A62A356-7A21-4319-980B-E15A96ADA7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E00ECCCC-5EA8-446F-A857-C2688EE498D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62B7B208-C76D-4360-83B2-AA65FED0975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6ADAE35E-EEAC-4CD4-822A-A967769762A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A4F8FA2E-B5AE-4D4F-AF79-1F9E2C2B7A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3D3D054F-BEA7-4077-962D-D9A12BCD18C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1CEC5A42-44DA-4A8D-A8F6-4654C0AB7B9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E6A67C73-5D42-4366-A449-329C0644997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5AC6B8E1-2817-4993-8EE5-C2D6B188DFA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B915CD46-2BB5-4D93-A48C-5E64834351B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C3BD2F55-9A96-41C9-A8D7-96CDC9B272D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E6151E09-D087-4B57-9A40-D74FFEFD6CF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D503ADD2-D26C-4278-A36D-5B008304F42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47387838-7AE9-4D4C-B218-D5147883F2B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B3B9A67E-0EAC-4E53-9C19-3A0691D895A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0D513039-E57B-49C8-9B9C-1D678BA207A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3E9C0728-BA9A-4287-8065-9195330830B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73C7C1C3-F5B7-431A-A1BE-1F28634DDCDC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E90D1D6B-03DF-475E-B5A0-771E0948EC3E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ED155DD3-AA82-4377-9A48-8ADC030294E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88E0E6A0-45E6-4651-AF81-4CB372CB59F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A6E19FB8-933D-451C-9E25-78886F958F9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1123F0D9-9B24-464E-AF43-21E5C49C694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2996F374-0884-43FA-BADF-C691335144F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35BAD59B-BE8B-48C8-990F-ED8D2E06D1B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20B3B34E-6B65-4E73-BB3B-86CD24AD633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04282E63-08E1-4605-81D9-9B1345040EA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7AEC7873-5632-450E-AF13-13CF7CBA79E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BCFDF525-625E-478B-96BC-BF354457C5F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8FEBE980-ED32-431F-A564-878C0818C2B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B59E47E0-E37F-48F2-A01A-56420E0005E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C9FCED49-C848-41EA-BACC-DEEB33363AF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162EC58F-6493-485A-B92F-10773608F9F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CDD16DEB-9597-4AEB-B74D-F1E6E3C38936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5C0A80F6-3625-430A-8A77-D66ABEB3164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C3C63754-EF14-49DA-ABE8-00905FF82069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B773708B-8DE1-43CA-B858-1AF16862ED6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3BB4AD12-F57E-4524-BAF9-55D2B69DE398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06275FF0-F6A1-439E-87AB-DEE27B6EE83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B4C17CC9-792A-4B18-9908-E41F69958878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C7FF9801-E07C-4564-A951-51366071A1A3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A427145F-29C4-4003-9120-7566BC7662A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1F77F346-A2B3-497C-8686-8A78AC0620E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DBB7B03C-D26B-4A7E-A1FC-C5023C2893B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7956B468-61F2-4029-97B9-9BE8520AFD6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AF48CC15-1AFF-4062-B6FE-24BBAE971EB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39827A67-6B47-4D29-8458-C2DE466EA1B5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F87C8C32-8D73-4145-9C52-4E577A1EC0E3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733B23BE-796C-42AE-9EF5-CAA945C7EEF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F8EF521C-614D-4830-99A6-923BED71B02D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DDA5B66E-CC0B-411F-8218-E5881695AEE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4B834EE4-BC20-4E7F-A08F-208667B286E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8F1420B3-75FD-49F8-AE99-CA23D3F9AF0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37046BCE-CA06-4D11-803E-C2B84F9526B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F0C62557-88D9-4A59-923A-EC9D6E7C0EB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9EA03034-A0CE-4709-94B8-8052F5901688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A5ACE52E-3EB0-4022-8B80-8D336476262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BA330C79-25C1-490C-A9CA-95A49D1482E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D248486D-6D56-491B-AAD5-1505B73643C7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75DCDA50-7631-4351-B66D-00230C137D6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1CC84650-9BC9-49EF-A22E-9A0D27EE7EF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2961933A-70C3-4D06-B335-8EFE4E5205F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F356BBF5-44B9-4080-B500-8F0C1CAEF6AC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B8E3F6D0-8D6E-4944-8B01-FE414F511080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8018422F-8BEC-490B-859E-50B217CC3D13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D158F03B-3FAD-41D7-A7FC-B391DEBBBF4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46AB15E0-C2A9-42D2-AEA3-08382523B1A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3A39E693-BE1C-4CD7-8AA2-8613307D983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BAC7C24F-3F3D-4895-9AC1-6ACA2FDA41B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25AD276A-6AB3-4215-964A-736741D651D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7910285C-1FDC-4B60-82A7-98E83C95639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ACD37617-8E28-4D8B-B1D3-6E8EE76C910F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B54A6BD4-1DC0-4B4C-8A78-ADBFF672F18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F86A67D7-B30A-4382-A046-FEB26D7FAA04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3D81BB6A-F5AA-4117-A3E9-16312F14F37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<sst xmlns="http://schemas.openxmlformats.org/spreadsheetml/2006/main" count="1102" uniqueCount="271">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</sst>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155329</v>
      </c>
    </row>
    <row r="8" spans="1:3" ht="15" customHeight="1" x14ac:dyDescent="0.25">
      <c r="B8" s="7" t="s">
        <v>106</v>
      </c>
      <c r="C8" s="70">
        <v>0.16899999999999998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0.91188728330000002</v>
      </c>
    </row>
    <row r="11" spans="1:3" ht="15" customHeight="1" x14ac:dyDescent="0.25">
      <c r="B11" s="7" t="s">
        <v>108</v>
      </c>
      <c r="C11" s="70">
        <v>0.84200000000000008</v>
      </c>
    </row>
    <row r="12" spans="1:3" ht="15" customHeight="1" x14ac:dyDescent="0.25">
      <c r="B12" s="7" t="s">
        <v>109</v>
      </c>
      <c r="C12" s="70">
        <v>0.87</v>
      </c>
    </row>
    <row r="13" spans="1:3" ht="15" customHeight="1" x14ac:dyDescent="0.25">
      <c r="B13" s="7" t="s">
        <v>110</v>
      </c>
      <c r="C13" s="70">
        <v>0.78099999999999992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3.7400000000000003E-2</v>
      </c>
    </row>
    <row r="24" spans="1:3" ht="15" customHeight="1" x14ac:dyDescent="0.25">
      <c r="B24" s="20" t="s">
        <v>102</v>
      </c>
      <c r="C24" s="71">
        <v>0.53110000000000002</v>
      </c>
    </row>
    <row r="25" spans="1:3" ht="15" customHeight="1" x14ac:dyDescent="0.25">
      <c r="B25" s="20" t="s">
        <v>103</v>
      </c>
      <c r="C25" s="71">
        <v>0.41369999999999996</v>
      </c>
    </row>
    <row r="26" spans="1:3" ht="15" customHeight="1" x14ac:dyDescent="0.25">
      <c r="B26" s="20" t="s">
        <v>104</v>
      </c>
      <c r="C26" s="71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4</v>
      </c>
    </row>
    <row r="38" spans="1:5" ht="15" customHeight="1" x14ac:dyDescent="0.25">
      <c r="B38" s="16" t="s">
        <v>91</v>
      </c>
      <c r="C38" s="75">
        <v>4.9000000000000004</v>
      </c>
      <c r="D38" s="17"/>
      <c r="E38" s="18"/>
    </row>
    <row r="39" spans="1:5" ht="15" customHeight="1" x14ac:dyDescent="0.25">
      <c r="B39" s="16" t="s">
        <v>90</v>
      </c>
      <c r="C39" s="75">
        <v>5.7</v>
      </c>
      <c r="D39" s="17"/>
      <c r="E39" s="17"/>
    </row>
    <row r="40" spans="1:5" ht="15" customHeight="1" x14ac:dyDescent="0.25">
      <c r="B40" s="16" t="s">
        <v>171</v>
      </c>
      <c r="C40" s="75">
        <v>0.11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2.1099999999999997E-2</v>
      </c>
      <c r="D45" s="17"/>
    </row>
    <row r="46" spans="1:5" ht="15.75" customHeight="1" x14ac:dyDescent="0.25">
      <c r="B46" s="16" t="s">
        <v>11</v>
      </c>
      <c r="C46" s="71">
        <v>7.4800000000000005E-2</v>
      </c>
      <c r="D46" s="17"/>
    </row>
    <row r="47" spans="1:5" ht="15.75" customHeight="1" x14ac:dyDescent="0.25">
      <c r="B47" s="16" t="s">
        <v>12</v>
      </c>
      <c r="C47" s="71">
        <v>0.1323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1.6451898866500001</v>
      </c>
      <c r="D51" s="17"/>
    </row>
    <row r="52" spans="1:4" ht="15" customHeight="1" x14ac:dyDescent="0.25">
      <c r="B52" s="16" t="s">
        <v>125</v>
      </c>
      <c r="C52" s="76">
        <v>1.6034161679199999</v>
      </c>
    </row>
    <row r="53" spans="1:4" ht="15.75" customHeight="1" x14ac:dyDescent="0.25">
      <c r="B53" s="16" t="s">
        <v>126</v>
      </c>
      <c r="C53" s="76">
        <v>1.6034161679199999</v>
      </c>
    </row>
    <row r="54" spans="1:4" ht="15.75" customHeight="1" x14ac:dyDescent="0.25">
      <c r="B54" s="16" t="s">
        <v>127</v>
      </c>
      <c r="C54" s="76">
        <v>1.2944778271799899</v>
      </c>
    </row>
    <row r="55" spans="1:4" ht="15.75" customHeight="1" x14ac:dyDescent="0.25">
      <c r="B55" s="16" t="s">
        <v>128</v>
      </c>
      <c r="C55" s="76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0.55699511709464022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62.267198925302971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39.975115048626499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480.84054251477158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7.5977498652403259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1.5745807631083883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1.5745807631083883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1.5745807631083883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1.5745807631083883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13.107414492422405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13.107414492422405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0.81418029231775391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v>11.065100889871365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11.065100889871365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11.065100889871365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79.90136660715082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22.669145438411167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4.3388595676177415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18.641484890005319</v>
      </c>
      <c r="E24" s="86" t="s">
        <v>202</v>
      </c>
    </row>
    <row r="25" spans="1:5" ht="15.75" customHeight="1" x14ac:dyDescent="0.25">
      <c r="A25" s="52" t="s">
        <v>87</v>
      </c>
      <c r="B25" s="85">
        <v>0.63100000000000001</v>
      </c>
      <c r="C25" s="85">
        <v>0.95</v>
      </c>
      <c r="D25" s="86">
        <v>18.673074583845779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5.4332620627330765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7.9566609166760616</v>
      </c>
      <c r="E27" s="86" t="s">
        <v>202</v>
      </c>
    </row>
    <row r="28" spans="1:5" ht="15.75" customHeight="1" x14ac:dyDescent="0.25">
      <c r="A28" s="52" t="s">
        <v>84</v>
      </c>
      <c r="B28" s="85">
        <v>0.36299999999999999</v>
      </c>
      <c r="C28" s="85">
        <v>0.95</v>
      </c>
      <c r="D28" s="86">
        <v>1.270922949713154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123.32014378516119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1.7708964965206573</v>
      </c>
      <c r="E30" s="86" t="s">
        <v>202</v>
      </c>
    </row>
    <row r="31" spans="1:5" ht="15.75" customHeight="1" x14ac:dyDescent="0.25">
      <c r="A31" s="52" t="s">
        <v>28</v>
      </c>
      <c r="B31" s="85">
        <v>0</v>
      </c>
      <c r="C31" s="85">
        <v>0.95</v>
      </c>
      <c r="D31" s="86">
        <v>1.7579636017261002</v>
      </c>
      <c r="E31" s="86" t="s">
        <v>202</v>
      </c>
    </row>
    <row r="32" spans="1:5" ht="15.75" customHeight="1" x14ac:dyDescent="0.25">
      <c r="A32" s="52" t="s">
        <v>83</v>
      </c>
      <c r="B32" s="85">
        <v>0.97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0.19600000000000001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0.94799999999999995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0.99900000000000011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0.872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2.7958272003703137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1.77908580784054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3.9738462400000021E-2</v>
      </c>
      <c r="C3" s="26">
        <f>frac_mam_1_5months * 2.6</f>
        <v>3.9738462400000021E-2</v>
      </c>
      <c r="D3" s="26">
        <f>frac_mam_6_11months * 2.6</f>
        <v>4.3825420600000005E-2</v>
      </c>
      <c r="E3" s="26">
        <f>frac_mam_12_23months * 2.6</f>
        <v>1.5634861839999997E-2</v>
      </c>
      <c r="F3" s="26">
        <f>frac_mam_24_59months * 2.6</f>
        <v>1.4592533973333341E-2</v>
      </c>
    </row>
    <row r="4" spans="1:6" ht="15.75" customHeight="1" x14ac:dyDescent="0.25">
      <c r="A4" s="3" t="s">
        <v>66</v>
      </c>
      <c r="B4" s="26">
        <f>frac_sam_1month * 2.6</f>
        <v>0.190029164</v>
      </c>
      <c r="C4" s="26">
        <f>frac_sam_1_5months * 2.6</f>
        <v>0.190029164</v>
      </c>
      <c r="D4" s="26">
        <f>frac_sam_6_11months * 2.6</f>
        <v>0</v>
      </c>
      <c r="E4" s="26">
        <f>frac_sam_12_23months * 2.6</f>
        <v>1.585394876E-2</v>
      </c>
      <c r="F4" s="26">
        <f>frac_sam_24_59months * 2.6</f>
        <v>3.133354449333333E-2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32289.105519000001</v>
      </c>
      <c r="C2" s="78">
        <v>102473</v>
      </c>
      <c r="D2" s="78">
        <v>233092</v>
      </c>
      <c r="E2" s="78">
        <v>238254</v>
      </c>
      <c r="F2" s="78">
        <v>242086</v>
      </c>
      <c r="G2" s="22">
        <f t="shared" ref="G2:G40" si="0">C2+D2+E2+F2</f>
        <v>815905</v>
      </c>
      <c r="H2" s="22">
        <f t="shared" ref="H2:H40" si="1">(B2 + stillbirth*B2/(1000-stillbirth))/(1-abortion)</f>
        <v>37315.417644937836</v>
      </c>
      <c r="I2" s="22">
        <f>G2-H2</f>
        <v>778589.58235506213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32424.848000000005</v>
      </c>
      <c r="C3" s="78">
        <v>96000</v>
      </c>
      <c r="D3" s="78">
        <v>232000</v>
      </c>
      <c r="E3" s="78">
        <v>239000</v>
      </c>
      <c r="F3" s="78">
        <v>242000</v>
      </c>
      <c r="G3" s="22">
        <f t="shared" si="0"/>
        <v>809000</v>
      </c>
      <c r="H3" s="22">
        <f t="shared" si="1"/>
        <v>37472.290599120315</v>
      </c>
      <c r="I3" s="22">
        <f t="shared" ref="I3:I15" si="3">G3-H3</f>
        <v>771527.70940087968</v>
      </c>
    </row>
    <row r="4" spans="1:9" ht="15.75" customHeight="1" x14ac:dyDescent="0.25">
      <c r="A4" s="7">
        <f t="shared" si="2"/>
        <v>2019</v>
      </c>
      <c r="B4" s="77">
        <v>32569.767333333337</v>
      </c>
      <c r="C4" s="78">
        <v>90000</v>
      </c>
      <c r="D4" s="78">
        <v>230000</v>
      </c>
      <c r="E4" s="78">
        <v>239000</v>
      </c>
      <c r="F4" s="78">
        <v>242000</v>
      </c>
      <c r="G4" s="22">
        <f t="shared" si="0"/>
        <v>801000</v>
      </c>
      <c r="H4" s="22">
        <f t="shared" si="1"/>
        <v>37639.768928458892</v>
      </c>
      <c r="I4" s="22">
        <f t="shared" si="3"/>
        <v>763360.23107154109</v>
      </c>
    </row>
    <row r="5" spans="1:9" ht="15.75" customHeight="1" x14ac:dyDescent="0.25">
      <c r="A5" s="7">
        <f t="shared" si="2"/>
        <v>2020</v>
      </c>
      <c r="B5" s="77">
        <v>32695.806</v>
      </c>
      <c r="C5" s="78">
        <v>86000</v>
      </c>
      <c r="D5" s="78">
        <v>228000</v>
      </c>
      <c r="E5" s="78">
        <v>238000</v>
      </c>
      <c r="F5" s="78">
        <v>242000</v>
      </c>
      <c r="G5" s="22">
        <f t="shared" si="0"/>
        <v>794000</v>
      </c>
      <c r="H5" s="22">
        <f t="shared" si="1"/>
        <v>37785.427515480151</v>
      </c>
      <c r="I5" s="22">
        <f t="shared" si="3"/>
        <v>756214.5724845198</v>
      </c>
    </row>
    <row r="6" spans="1:9" ht="15.75" customHeight="1" x14ac:dyDescent="0.25">
      <c r="A6" s="7">
        <f t="shared" si="2"/>
        <v>2021</v>
      </c>
      <c r="B6" s="77">
        <v>32635.533599999995</v>
      </c>
      <c r="C6" s="78">
        <v>83000</v>
      </c>
      <c r="D6" s="78">
        <v>224000</v>
      </c>
      <c r="E6" s="78">
        <v>238000</v>
      </c>
      <c r="F6" s="78">
        <v>241000</v>
      </c>
      <c r="G6" s="22">
        <f t="shared" si="0"/>
        <v>786000</v>
      </c>
      <c r="H6" s="22">
        <f t="shared" si="1"/>
        <v>37715.772759106061</v>
      </c>
      <c r="I6" s="22">
        <f t="shared" si="3"/>
        <v>748284.22724089399</v>
      </c>
    </row>
    <row r="7" spans="1:9" ht="15.75" customHeight="1" x14ac:dyDescent="0.25">
      <c r="A7" s="7">
        <f t="shared" si="2"/>
        <v>2022</v>
      </c>
      <c r="B7" s="77">
        <v>32556.586399999997</v>
      </c>
      <c r="C7" s="78">
        <v>82000</v>
      </c>
      <c r="D7" s="78">
        <v>218000</v>
      </c>
      <c r="E7" s="78">
        <v>237000</v>
      </c>
      <c r="F7" s="78">
        <v>241000</v>
      </c>
      <c r="G7" s="22">
        <f t="shared" si="0"/>
        <v>778000</v>
      </c>
      <c r="H7" s="22">
        <f t="shared" si="1"/>
        <v>37624.5361734978</v>
      </c>
      <c r="I7" s="22">
        <f t="shared" si="3"/>
        <v>740375.46382650221</v>
      </c>
    </row>
    <row r="8" spans="1:9" ht="15.75" customHeight="1" x14ac:dyDescent="0.25">
      <c r="A8" s="7">
        <f t="shared" si="2"/>
        <v>2023</v>
      </c>
      <c r="B8" s="77">
        <v>32468.314999999988</v>
      </c>
      <c r="C8" s="78">
        <v>83000</v>
      </c>
      <c r="D8" s="78">
        <v>212000</v>
      </c>
      <c r="E8" s="78">
        <v>235000</v>
      </c>
      <c r="F8" s="78">
        <v>239000</v>
      </c>
      <c r="G8" s="22">
        <f t="shared" si="0"/>
        <v>769000</v>
      </c>
      <c r="H8" s="22">
        <f t="shared" si="1"/>
        <v>37522.523928062095</v>
      </c>
      <c r="I8" s="22">
        <f t="shared" si="3"/>
        <v>731477.47607193794</v>
      </c>
    </row>
    <row r="9" spans="1:9" ht="15.75" customHeight="1" x14ac:dyDescent="0.25">
      <c r="A9" s="7">
        <f t="shared" si="2"/>
        <v>2024</v>
      </c>
      <c r="B9" s="77">
        <v>32380.065199999986</v>
      </c>
      <c r="C9" s="78">
        <v>84000</v>
      </c>
      <c r="D9" s="78">
        <v>205000</v>
      </c>
      <c r="E9" s="78">
        <v>234000</v>
      </c>
      <c r="F9" s="78">
        <v>238000</v>
      </c>
      <c r="G9" s="22">
        <f t="shared" si="0"/>
        <v>761000</v>
      </c>
      <c r="H9" s="22">
        <f t="shared" si="1"/>
        <v>37420.536645009473</v>
      </c>
      <c r="I9" s="22">
        <f t="shared" si="3"/>
        <v>723579.46335499058</v>
      </c>
    </row>
    <row r="10" spans="1:9" ht="15.75" customHeight="1" x14ac:dyDescent="0.25">
      <c r="A10" s="7">
        <f t="shared" si="2"/>
        <v>2025</v>
      </c>
      <c r="B10" s="77">
        <v>32282.495999999996</v>
      </c>
      <c r="C10" s="78">
        <v>83000</v>
      </c>
      <c r="D10" s="78">
        <v>197000</v>
      </c>
      <c r="E10" s="78">
        <v>234000</v>
      </c>
      <c r="F10" s="78">
        <v>238000</v>
      </c>
      <c r="G10" s="22">
        <f t="shared" si="0"/>
        <v>752000</v>
      </c>
      <c r="H10" s="22">
        <f t="shared" si="1"/>
        <v>37307.779249325664</v>
      </c>
      <c r="I10" s="22">
        <f t="shared" si="3"/>
        <v>714692.22075067437</v>
      </c>
    </row>
    <row r="11" spans="1:9" ht="15.75" customHeight="1" x14ac:dyDescent="0.25">
      <c r="A11" s="7">
        <f t="shared" si="2"/>
        <v>2026</v>
      </c>
      <c r="B11" s="77">
        <v>31894.401599999994</v>
      </c>
      <c r="C11" s="78">
        <v>83000</v>
      </c>
      <c r="D11" s="78">
        <v>191000</v>
      </c>
      <c r="E11" s="78">
        <v>232000</v>
      </c>
      <c r="F11" s="78">
        <v>237000</v>
      </c>
      <c r="G11" s="22">
        <f t="shared" si="0"/>
        <v>743000</v>
      </c>
      <c r="H11" s="22">
        <f t="shared" si="1"/>
        <v>36859.27179181372</v>
      </c>
      <c r="I11" s="22">
        <f t="shared" si="3"/>
        <v>706140.72820818634</v>
      </c>
    </row>
    <row r="12" spans="1:9" ht="15.75" customHeight="1" x14ac:dyDescent="0.25">
      <c r="A12" s="7">
        <f t="shared" si="2"/>
        <v>2027</v>
      </c>
      <c r="B12" s="77">
        <v>31498.730199999995</v>
      </c>
      <c r="C12" s="78">
        <v>82000</v>
      </c>
      <c r="D12" s="78">
        <v>184000</v>
      </c>
      <c r="E12" s="78">
        <v>232000</v>
      </c>
      <c r="F12" s="78">
        <v>237000</v>
      </c>
      <c r="G12" s="22">
        <f t="shared" si="0"/>
        <v>735000</v>
      </c>
      <c r="H12" s="22">
        <f t="shared" si="1"/>
        <v>36402.007853905336</v>
      </c>
      <c r="I12" s="22">
        <f t="shared" si="3"/>
        <v>698597.99214609468</v>
      </c>
    </row>
    <row r="13" spans="1:9" ht="15.75" customHeight="1" x14ac:dyDescent="0.25">
      <c r="A13" s="7">
        <f t="shared" si="2"/>
        <v>2028</v>
      </c>
      <c r="B13" s="77">
        <v>31104.822799999994</v>
      </c>
      <c r="C13" s="78">
        <v>80000</v>
      </c>
      <c r="D13" s="78">
        <v>178000</v>
      </c>
      <c r="E13" s="78">
        <v>231000</v>
      </c>
      <c r="F13" s="78">
        <v>237000</v>
      </c>
      <c r="G13" s="22">
        <f t="shared" si="0"/>
        <v>726000</v>
      </c>
      <c r="H13" s="22">
        <f t="shared" si="1"/>
        <v>35946.782510614787</v>
      </c>
      <c r="I13" s="22">
        <f t="shared" si="3"/>
        <v>690053.21748938516</v>
      </c>
    </row>
    <row r="14" spans="1:9" ht="15.75" customHeight="1" x14ac:dyDescent="0.25">
      <c r="A14" s="7">
        <f t="shared" si="2"/>
        <v>2029</v>
      </c>
      <c r="B14" s="77">
        <v>30703.69119999999</v>
      </c>
      <c r="C14" s="78">
        <v>79000</v>
      </c>
      <c r="D14" s="78">
        <v>172000</v>
      </c>
      <c r="E14" s="78">
        <v>230000</v>
      </c>
      <c r="F14" s="78">
        <v>237000</v>
      </c>
      <c r="G14" s="22">
        <f t="shared" si="0"/>
        <v>718000</v>
      </c>
      <c r="H14" s="22">
        <f t="shared" si="1"/>
        <v>35483.208405851357</v>
      </c>
      <c r="I14" s="22">
        <f t="shared" si="3"/>
        <v>682516.79159414861</v>
      </c>
    </row>
    <row r="15" spans="1:9" ht="15.75" customHeight="1" x14ac:dyDescent="0.25">
      <c r="A15" s="7">
        <f t="shared" si="2"/>
        <v>2030</v>
      </c>
      <c r="B15" s="77">
        <v>30304.5</v>
      </c>
      <c r="C15" s="78">
        <v>78000</v>
      </c>
      <c r="D15" s="78">
        <v>168000</v>
      </c>
      <c r="E15" s="78">
        <v>226000</v>
      </c>
      <c r="F15" s="78">
        <v>236000</v>
      </c>
      <c r="G15" s="22">
        <f t="shared" si="0"/>
        <v>708000</v>
      </c>
      <c r="H15" s="22">
        <f t="shared" si="1"/>
        <v>35021.876755167563</v>
      </c>
      <c r="I15" s="22">
        <f t="shared" si="3"/>
        <v>672978.12324483239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127.12324714377176</v>
      </c>
      <c r="I17" s="22">
        <f t="shared" si="4"/>
        <v>-127.12324714377176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6.5810697499999989E-3</v>
      </c>
    </row>
    <row r="4" spans="1:8" ht="15.75" customHeight="1" x14ac:dyDescent="0.25">
      <c r="B4" s="24" t="s">
        <v>7</v>
      </c>
      <c r="C4" s="79">
        <v>3.2989666453113277E-2</v>
      </c>
    </row>
    <row r="5" spans="1:8" ht="15.75" customHeight="1" x14ac:dyDescent="0.25">
      <c r="B5" s="24" t="s">
        <v>8</v>
      </c>
      <c r="C5" s="79">
        <v>2.7585767124560779E-2</v>
      </c>
    </row>
    <row r="6" spans="1:8" ht="15.75" customHeight="1" x14ac:dyDescent="0.25">
      <c r="B6" s="24" t="s">
        <v>10</v>
      </c>
      <c r="C6" s="79">
        <v>8.2511169869548706E-2</v>
      </c>
    </row>
    <row r="7" spans="1:8" ht="15.75" customHeight="1" x14ac:dyDescent="0.25">
      <c r="B7" s="24" t="s">
        <v>13</v>
      </c>
      <c r="C7" s="79">
        <v>0.38330366221074397</v>
      </c>
    </row>
    <row r="8" spans="1:8" ht="15.75" customHeight="1" x14ac:dyDescent="0.25">
      <c r="B8" s="24" t="s">
        <v>14</v>
      </c>
      <c r="C8" s="79">
        <v>1.9954759105698675E-6</v>
      </c>
    </row>
    <row r="9" spans="1:8" ht="15.75" customHeight="1" x14ac:dyDescent="0.25">
      <c r="B9" s="24" t="s">
        <v>27</v>
      </c>
      <c r="C9" s="79">
        <v>0.33932490226458051</v>
      </c>
    </row>
    <row r="10" spans="1:8" ht="15.75" customHeight="1" x14ac:dyDescent="0.25">
      <c r="B10" s="24" t="s">
        <v>15</v>
      </c>
      <c r="C10" s="79">
        <v>0.12770176685154211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5.3263483591187398E-2</v>
      </c>
      <c r="D14" s="79">
        <v>5.3263483591187398E-2</v>
      </c>
      <c r="E14" s="79">
        <v>1.0801454612312401E-2</v>
      </c>
      <c r="F14" s="79">
        <v>1.0801454612312401E-2</v>
      </c>
    </row>
    <row r="15" spans="1:8" ht="15.75" customHeight="1" x14ac:dyDescent="0.25">
      <c r="B15" s="24" t="s">
        <v>16</v>
      </c>
      <c r="C15" s="79">
        <v>7.5794292813555694E-2</v>
      </c>
      <c r="D15" s="79">
        <v>7.5794292813555694E-2</v>
      </c>
      <c r="E15" s="79">
        <v>5.0466171281373803E-2</v>
      </c>
      <c r="F15" s="79">
        <v>5.0466171281373803E-2</v>
      </c>
    </row>
    <row r="16" spans="1:8" ht="15.75" customHeight="1" x14ac:dyDescent="0.25">
      <c r="B16" s="24" t="s">
        <v>17</v>
      </c>
      <c r="C16" s="79">
        <v>2.46267881332899E-2</v>
      </c>
      <c r="D16" s="79">
        <v>2.46267881332899E-2</v>
      </c>
      <c r="E16" s="79">
        <v>2.7752780178784898E-2</v>
      </c>
      <c r="F16" s="79">
        <v>2.7752780178784898E-2</v>
      </c>
    </row>
    <row r="17" spans="1:8" ht="15.75" customHeight="1" x14ac:dyDescent="0.25">
      <c r="B17" s="24" t="s">
        <v>18</v>
      </c>
      <c r="C17" s="79">
        <v>1.1775326809674901E-4</v>
      </c>
      <c r="D17" s="79">
        <v>1.1775326809674901E-4</v>
      </c>
      <c r="E17" s="79">
        <v>3.2121539991963101E-4</v>
      </c>
      <c r="F17" s="79">
        <v>3.2121539991963101E-4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0.145747004730753</v>
      </c>
      <c r="D19" s="79">
        <v>0.145747004730753</v>
      </c>
      <c r="E19" s="79">
        <v>0.16345424125457503</v>
      </c>
      <c r="F19" s="79">
        <v>0.16345424125457503</v>
      </c>
    </row>
    <row r="20" spans="1:8" ht="15.75" customHeight="1" x14ac:dyDescent="0.25">
      <c r="B20" s="24" t="s">
        <v>21</v>
      </c>
      <c r="C20" s="79">
        <v>1.6820162777501601E-4</v>
      </c>
      <c r="D20" s="79">
        <v>1.6820162777501601E-4</v>
      </c>
      <c r="E20" s="79">
        <v>6.2120544260293997E-4</v>
      </c>
      <c r="F20" s="79">
        <v>6.2120544260293997E-4</v>
      </c>
    </row>
    <row r="21" spans="1:8" ht="15.75" customHeight="1" x14ac:dyDescent="0.25">
      <c r="B21" s="24" t="s">
        <v>22</v>
      </c>
      <c r="C21" s="79">
        <v>4.6413877445483503E-2</v>
      </c>
      <c r="D21" s="79">
        <v>4.6413877445483503E-2</v>
      </c>
      <c r="E21" s="79">
        <v>0.17467227538822802</v>
      </c>
      <c r="F21" s="79">
        <v>0.17467227538822802</v>
      </c>
    </row>
    <row r="22" spans="1:8" ht="15.75" customHeight="1" x14ac:dyDescent="0.25">
      <c r="B22" s="24" t="s">
        <v>23</v>
      </c>
      <c r="C22" s="79">
        <v>0.65386859838985878</v>
      </c>
      <c r="D22" s="79">
        <v>0.65386859838985878</v>
      </c>
      <c r="E22" s="79">
        <v>0.57191065644220329</v>
      </c>
      <c r="F22" s="79">
        <v>0.57191065644220329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5.5800000000000002E-2</v>
      </c>
    </row>
    <row r="27" spans="1:8" ht="15.75" customHeight="1" x14ac:dyDescent="0.25">
      <c r="B27" s="24" t="s">
        <v>39</v>
      </c>
      <c r="C27" s="79">
        <v>5.7599999999999998E-2</v>
      </c>
    </row>
    <row r="28" spans="1:8" ht="15.75" customHeight="1" x14ac:dyDescent="0.25">
      <c r="B28" s="24" t="s">
        <v>40</v>
      </c>
      <c r="C28" s="79">
        <v>0.12380000000000001</v>
      </c>
    </row>
    <row r="29" spans="1:8" ht="15.75" customHeight="1" x14ac:dyDescent="0.25">
      <c r="B29" s="24" t="s">
        <v>41</v>
      </c>
      <c r="C29" s="79">
        <v>0.13619999999999999</v>
      </c>
    </row>
    <row r="30" spans="1:8" ht="15.75" customHeight="1" x14ac:dyDescent="0.25">
      <c r="B30" s="24" t="s">
        <v>42</v>
      </c>
      <c r="C30" s="79">
        <v>8.3299999999999999E-2</v>
      </c>
    </row>
    <row r="31" spans="1:8" ht="15.75" customHeight="1" x14ac:dyDescent="0.25">
      <c r="B31" s="24" t="s">
        <v>43</v>
      </c>
      <c r="C31" s="79">
        <v>6.6000000000000003E-2</v>
      </c>
    </row>
    <row r="32" spans="1:8" ht="15.75" customHeight="1" x14ac:dyDescent="0.25">
      <c r="B32" s="24" t="s">
        <v>44</v>
      </c>
      <c r="C32" s="79">
        <v>0.13</v>
      </c>
    </row>
    <row r="33" spans="2:3" ht="15.75" customHeight="1" x14ac:dyDescent="0.25">
      <c r="B33" s="24" t="s">
        <v>45</v>
      </c>
      <c r="C33" s="79">
        <v>0.1246</v>
      </c>
    </row>
    <row r="34" spans="2:3" ht="15.75" customHeight="1" x14ac:dyDescent="0.25">
      <c r="B34" s="24" t="s">
        <v>46</v>
      </c>
      <c r="C34" s="79">
        <v>0.22269999999776485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0.7953859260675199</v>
      </c>
      <c r="D2" s="80">
        <v>0.7953859260675199</v>
      </c>
      <c r="E2" s="80">
        <v>0.73312666590769437</v>
      </c>
      <c r="F2" s="80">
        <v>0.73628759863089399</v>
      </c>
      <c r="G2" s="80">
        <v>0.74919755538461552</v>
      </c>
    </row>
    <row r="3" spans="1:15" ht="15.75" customHeight="1" x14ac:dyDescent="0.25">
      <c r="A3" s="5"/>
      <c r="B3" s="11" t="s">
        <v>118</v>
      </c>
      <c r="C3" s="80">
        <v>4.8083783943628403E-2</v>
      </c>
      <c r="D3" s="80">
        <v>4.8083783943628403E-2</v>
      </c>
      <c r="E3" s="80">
        <v>0.11034304410345401</v>
      </c>
      <c r="F3" s="80">
        <v>0.1042100172665419</v>
      </c>
      <c r="G3" s="80">
        <v>9.1300060512820511E-2</v>
      </c>
    </row>
    <row r="4" spans="1:15" ht="15.75" customHeight="1" x14ac:dyDescent="0.25">
      <c r="A4" s="5"/>
      <c r="B4" s="11" t="s">
        <v>116</v>
      </c>
      <c r="C4" s="81">
        <v>7.331165480490523E-2</v>
      </c>
      <c r="D4" s="81">
        <v>7.331165480490523E-2</v>
      </c>
      <c r="E4" s="81">
        <v>7.331165480490523E-2</v>
      </c>
      <c r="F4" s="81">
        <v>7.6283748918617597E-2</v>
      </c>
      <c r="G4" s="81">
        <v>7.6283748918617597E-2</v>
      </c>
    </row>
    <row r="5" spans="1:15" ht="15.75" customHeight="1" x14ac:dyDescent="0.25">
      <c r="A5" s="5"/>
      <c r="B5" s="11" t="s">
        <v>119</v>
      </c>
      <c r="C5" s="81">
        <v>8.3218635183946468E-2</v>
      </c>
      <c r="D5" s="81">
        <v>8.3218635183946468E-2</v>
      </c>
      <c r="E5" s="81">
        <v>8.3218635183946468E-2</v>
      </c>
      <c r="F5" s="81">
        <v>8.3218635183946468E-2</v>
      </c>
      <c r="G5" s="81">
        <v>8.3218635183946468E-2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0.77568333414035073</v>
      </c>
      <c r="D8" s="80">
        <v>0.77568333414035073</v>
      </c>
      <c r="E8" s="80">
        <v>0.96114084466836203</v>
      </c>
      <c r="F8" s="80">
        <v>0.94889330377631576</v>
      </c>
      <c r="G8" s="80">
        <v>0.93636719010749414</v>
      </c>
    </row>
    <row r="9" spans="1:15" ht="15.75" customHeight="1" x14ac:dyDescent="0.25">
      <c r="B9" s="7" t="s">
        <v>121</v>
      </c>
      <c r="C9" s="80">
        <v>0.13594450185964915</v>
      </c>
      <c r="D9" s="80">
        <v>0.13594450185964915</v>
      </c>
      <c r="E9" s="80">
        <v>2.2003224331637844E-2</v>
      </c>
      <c r="F9" s="80">
        <v>3.8995615223684207E-2</v>
      </c>
      <c r="G9" s="80">
        <v>4.5968933559172594E-2</v>
      </c>
    </row>
    <row r="10" spans="1:15" ht="15.75" customHeight="1" x14ac:dyDescent="0.25">
      <c r="B10" s="7" t="s">
        <v>122</v>
      </c>
      <c r="C10" s="81">
        <v>1.5284024000000009E-2</v>
      </c>
      <c r="D10" s="81">
        <v>1.5284024000000009E-2</v>
      </c>
      <c r="E10" s="81">
        <v>1.6855931000000001E-2</v>
      </c>
      <c r="F10" s="81">
        <v>6.0134083999999989E-3</v>
      </c>
      <c r="G10" s="81">
        <v>5.6125130666666691E-3</v>
      </c>
    </row>
    <row r="11" spans="1:15" ht="15.75" customHeight="1" x14ac:dyDescent="0.25">
      <c r="B11" s="7" t="s">
        <v>123</v>
      </c>
      <c r="C11" s="81">
        <v>7.3088139999999996E-2</v>
      </c>
      <c r="D11" s="81">
        <v>7.3088139999999996E-2</v>
      </c>
      <c r="E11" s="81">
        <v>0</v>
      </c>
      <c r="F11" s="81">
        <v>6.0976726000000004E-3</v>
      </c>
      <c r="G11" s="81">
        <v>1.2051363266666665E-2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0.41136791174999998</v>
      </c>
      <c r="D14" s="82">
        <v>0.41779542736700004</v>
      </c>
      <c r="E14" s="82">
        <v>0.41779542736700004</v>
      </c>
      <c r="F14" s="82">
        <v>0.21947022780400002</v>
      </c>
      <c r="G14" s="82">
        <v>0.21947022780400002</v>
      </c>
      <c r="H14" s="83">
        <v>0.29799999999999999</v>
      </c>
      <c r="I14" s="83">
        <v>0.29799999999999999</v>
      </c>
      <c r="J14" s="83">
        <v>0.29799999999999999</v>
      </c>
      <c r="K14" s="83">
        <v>0.29799999999999999</v>
      </c>
      <c r="L14" s="83">
        <v>0.15966918645100001</v>
      </c>
      <c r="M14" s="83">
        <v>0.16027206676950001</v>
      </c>
      <c r="N14" s="83">
        <v>0.15750597963000001</v>
      </c>
      <c r="O14" s="83">
        <v>0.19280945618849998</v>
      </c>
    </row>
    <row r="15" spans="1:15" ht="15.75" customHeight="1" x14ac:dyDescent="0.25">
      <c r="B15" s="16" t="s">
        <v>68</v>
      </c>
      <c r="C15" s="80">
        <f>iron_deficiency_anaemia*C14</f>
        <v>0.22912991817416886</v>
      </c>
      <c r="D15" s="80">
        <f t="shared" ref="D15:O15" si="0">iron_deficiency_anaemia*D14</f>
        <v>0.23271001298788743</v>
      </c>
      <c r="E15" s="80">
        <f t="shared" si="0"/>
        <v>0.23271001298788743</v>
      </c>
      <c r="F15" s="80">
        <f t="shared" si="0"/>
        <v>0.12224384523447636</v>
      </c>
      <c r="G15" s="80">
        <f t="shared" si="0"/>
        <v>0.12224384523447636</v>
      </c>
      <c r="H15" s="80">
        <f t="shared" si="0"/>
        <v>0.16598454489420278</v>
      </c>
      <c r="I15" s="80">
        <f t="shared" si="0"/>
        <v>0.16598454489420278</v>
      </c>
      <c r="J15" s="80">
        <f t="shared" si="0"/>
        <v>0.16598454489420278</v>
      </c>
      <c r="K15" s="80">
        <f t="shared" si="0"/>
        <v>0.16598454489420278</v>
      </c>
      <c r="L15" s="80">
        <f t="shared" si="0"/>
        <v>8.8934957203680692E-2</v>
      </c>
      <c r="M15" s="80">
        <f t="shared" si="0"/>
        <v>8.927075859727765E-2</v>
      </c>
      <c r="N15" s="80">
        <f t="shared" si="0"/>
        <v>8.7730061567117879E-2</v>
      </c>
      <c r="O15" s="80">
        <f t="shared" si="0"/>
        <v>0.10739392562666746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0.29899999999999999</v>
      </c>
      <c r="D2" s="81">
        <v>0.16200000000000001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0.28600000000000003</v>
      </c>
      <c r="D3" s="81">
        <v>0.27300000000000002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0.29199999999999998</v>
      </c>
      <c r="D4" s="81">
        <v>0.28199999999999997</v>
      </c>
      <c r="E4" s="81">
        <v>0.45799999999999996</v>
      </c>
      <c r="F4" s="81">
        <v>0.11699999999999999</v>
      </c>
      <c r="G4" s="81">
        <v>0</v>
      </c>
    </row>
    <row r="5" spans="1:7" x14ac:dyDescent="0.25">
      <c r="B5" s="43" t="s">
        <v>169</v>
      </c>
      <c r="C5" s="80">
        <f>1-SUM(C2:C4)</f>
        <v>0.123</v>
      </c>
      <c r="D5" s="80">
        <f>1-SUM(D2:D4)</f>
        <v>0.28299999999999992</v>
      </c>
      <c r="E5" s="80">
        <f>1-SUM(E2:E4)</f>
        <v>0.54200000000000004</v>
      </c>
      <c r="F5" s="80">
        <f>1-SUM(F2:F4)</f>
        <v>0.88300000000000001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8.5220000000000004E-2</v>
      </c>
      <c r="D2" s="144">
        <v>8.3460000000000006E-2</v>
      </c>
      <c r="E2" s="144">
        <v>8.1759999999999999E-2</v>
      </c>
      <c r="F2" s="144">
        <v>8.0109999999999987E-2</v>
      </c>
      <c r="G2" s="144">
        <v>7.8509999999999996E-2</v>
      </c>
      <c r="H2" s="144">
        <v>7.6950000000000005E-2</v>
      </c>
      <c r="I2" s="144">
        <v>7.5439999999999993E-2</v>
      </c>
      <c r="J2" s="144">
        <v>7.3970000000000008E-2</v>
      </c>
      <c r="K2" s="144">
        <v>7.2559999999999999E-2</v>
      </c>
      <c r="L2" s="144">
        <v>7.1199999999999999E-2</v>
      </c>
      <c r="M2" s="144">
        <v>6.9889999999999994E-2</v>
      </c>
      <c r="N2" s="144">
        <v>6.862E-2</v>
      </c>
      <c r="O2" s="144">
        <v>6.7400000000000002E-2</v>
      </c>
      <c r="P2" s="144">
        <v>6.6210000000000005E-2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2.0139999999999998E-2</v>
      </c>
      <c r="D4" s="144">
        <v>1.932E-2</v>
      </c>
      <c r="E4" s="144">
        <v>1.8540000000000001E-2</v>
      </c>
      <c r="F4" s="144">
        <v>1.7780000000000001E-2</v>
      </c>
      <c r="G4" s="144">
        <v>1.7070000000000002E-2</v>
      </c>
      <c r="H4" s="144">
        <v>1.6420000000000001E-2</v>
      </c>
      <c r="I4" s="144">
        <v>1.5810000000000001E-2</v>
      </c>
      <c r="J4" s="144">
        <v>1.5220000000000001E-2</v>
      </c>
      <c r="K4" s="144">
        <v>1.4650000000000002E-2</v>
      </c>
      <c r="L4" s="144">
        <v>1.41E-2</v>
      </c>
      <c r="M4" s="144">
        <v>1.357E-2</v>
      </c>
      <c r="N4" s="144">
        <v>1.306E-2</v>
      </c>
      <c r="O4" s="144">
        <v>1.2580000000000001E-2</v>
      </c>
      <c r="P4" s="144">
        <v>1.2110000000000001E-2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0.14427741053826326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0.16598454489420278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9.3960635540829521E-2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0.18483333333333332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0.23066666666666666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6.4210000000000003</v>
      </c>
      <c r="D13" s="143">
        <v>6.2859999999999996</v>
      </c>
      <c r="E13" s="143">
        <v>6.0810000000000004</v>
      </c>
      <c r="F13" s="143">
        <v>5.952</v>
      </c>
      <c r="G13" s="143">
        <v>5.7889999999999997</v>
      </c>
      <c r="H13" s="143">
        <v>5.6550000000000002</v>
      </c>
      <c r="I13" s="143">
        <v>5.4829999999999997</v>
      </c>
      <c r="J13" s="143">
        <v>5.3520000000000003</v>
      </c>
      <c r="K13" s="143">
        <v>5.2549999999999999</v>
      </c>
      <c r="L13" s="143">
        <v>5.0259999999999998</v>
      </c>
      <c r="M13" s="143">
        <v>5.226</v>
      </c>
      <c r="N13" s="143">
        <v>4.7640000000000002</v>
      </c>
      <c r="O13" s="143">
        <v>4.9390000000000001</v>
      </c>
      <c r="P13" s="143">
        <v>4.7779999999999996</v>
      </c>
    </row>
    <row r="14" spans="1:16" x14ac:dyDescent="0.25">
      <c r="B14" s="16" t="s">
        <v>170</v>
      </c>
      <c r="C14" s="143">
        <f>maternal_mortality</f>
        <v>0.11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0.16899999999999998</v>
      </c>
      <c r="E2" s="92">
        <f>food_insecure</f>
        <v>0.16899999999999998</v>
      </c>
      <c r="F2" s="92">
        <f>food_insecure</f>
        <v>0.16899999999999998</v>
      </c>
      <c r="G2" s="92">
        <f>food_insecure</f>
        <v>0.16899999999999998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0.16899999999999998</v>
      </c>
      <c r="F5" s="92">
        <f>food_insecure</f>
        <v>0.16899999999999998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6.3276534101923076E-2</v>
      </c>
      <c r="D7" s="92">
        <f>diarrhoea_1_5mo/26</f>
        <v>6.1669852612307688E-2</v>
      </c>
      <c r="E7" s="92">
        <f>diarrhoea_6_11mo/26</f>
        <v>6.1669852612307688E-2</v>
      </c>
      <c r="F7" s="92">
        <f>diarrhoea_12_23mo/26</f>
        <v>4.9787608737691919E-2</v>
      </c>
      <c r="G7" s="92">
        <f>diarrhoea_24_59mo/26</f>
        <v>4.9787608737691919E-2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0.16899999999999998</v>
      </c>
      <c r="F8" s="92">
        <f>food_insecure</f>
        <v>0.16899999999999998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0.87</v>
      </c>
      <c r="E9" s="92">
        <f>IF(ISBLANK(comm_deliv), frac_children_health_facility,1)</f>
        <v>0.87</v>
      </c>
      <c r="F9" s="92">
        <f>IF(ISBLANK(comm_deliv), frac_children_health_facility,1)</f>
        <v>0.87</v>
      </c>
      <c r="G9" s="92">
        <f>IF(ISBLANK(comm_deliv), frac_children_health_facility,1)</f>
        <v>0.87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6.3276534101923076E-2</v>
      </c>
      <c r="D11" s="92">
        <f>diarrhoea_1_5mo/26</f>
        <v>6.1669852612307688E-2</v>
      </c>
      <c r="E11" s="92">
        <f>diarrhoea_6_11mo/26</f>
        <v>6.1669852612307688E-2</v>
      </c>
      <c r="F11" s="92">
        <f>diarrhoea_12_23mo/26</f>
        <v>4.9787608737691919E-2</v>
      </c>
      <c r="G11" s="92">
        <f>diarrhoea_24_59mo/26</f>
        <v>4.9787608737691919E-2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0.16899999999999998</v>
      </c>
      <c r="I14" s="92">
        <f>food_insecure</f>
        <v>0.16899999999999998</v>
      </c>
      <c r="J14" s="92">
        <f>food_insecure</f>
        <v>0.16899999999999998</v>
      </c>
      <c r="K14" s="92">
        <f>food_insecure</f>
        <v>0.16899999999999998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0.84200000000000008</v>
      </c>
      <c r="I17" s="92">
        <f>frac_PW_health_facility</f>
        <v>0.84200000000000008</v>
      </c>
      <c r="J17" s="92">
        <f>frac_PW_health_facility</f>
        <v>0.84200000000000008</v>
      </c>
      <c r="K17" s="92">
        <f>frac_PW_health_facility</f>
        <v>0.84200000000000008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0.78099999999999992</v>
      </c>
      <c r="M23" s="92">
        <f>famplan_unmet_need</f>
        <v>0.78099999999999992</v>
      </c>
      <c r="N23" s="92">
        <f>famplan_unmet_need</f>
        <v>0.78099999999999992</v>
      </c>
      <c r="O23" s="92">
        <f>famplan_unmet_need</f>
        <v>0.78099999999999992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4.6302351498682989E-2</v>
      </c>
      <c r="M24" s="92">
        <f>(1-food_insecure)*(0.49)+food_insecure*(0.7)</f>
        <v>0.52549000000000001</v>
      </c>
      <c r="N24" s="92">
        <f>(1-food_insecure)*(0.49)+food_insecure*(0.7)</f>
        <v>0.52549000000000001</v>
      </c>
      <c r="O24" s="92">
        <f>(1-food_insecure)*(0.49)+food_insecure*(0.7)</f>
        <v>0.52549000000000001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1.9843864928006993E-2</v>
      </c>
      <c r="M25" s="92">
        <f>(1-food_insecure)*(0.21)+food_insecure*(0.3)</f>
        <v>0.22520999999999999</v>
      </c>
      <c r="N25" s="92">
        <f>(1-food_insecure)*(0.21)+food_insecure*(0.3)</f>
        <v>0.22520999999999999</v>
      </c>
      <c r="O25" s="92">
        <f>(1-food_insecure)*(0.21)+food_insecure*(0.3)</f>
        <v>0.22520999999999999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2.1966500273309993E-2</v>
      </c>
      <c r="M26" s="92">
        <f>(1-food_insecure)*(0.3)</f>
        <v>0.24929999999999997</v>
      </c>
      <c r="N26" s="92">
        <f>(1-food_insecure)*(0.3)</f>
        <v>0.24929999999999997</v>
      </c>
      <c r="O26" s="92">
        <f>(1-food_insecure)*(0.3)</f>
        <v>0.24929999999999997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0.91188728330000002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2020-03-24T06:48:35Z</dcterms:modified>
</cp:coreProperties>
</file>