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A9CA121A-C9F2-47B5-B225-4021AE11A922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1" i="2"/>
  <c r="I10" i="2"/>
  <c r="I9" i="2"/>
  <c r="I8" i="2"/>
  <c r="I7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B81F0C25-FF2C-4712-9A99-62A825ACF2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DEDFD88-5CEA-4B2F-8C39-AEC5CF910E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0CFB26D5-61DE-459E-8025-94023215BF8F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CC1D05E0-6769-4F33-910E-831DBCEC282D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0DBF70A9-3BD2-4C03-9E00-6B30F954382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0A6C2A15-8C77-4188-98F0-5F4FDDC40185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311CD34E-590E-457D-B16F-EA771AE91E3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674D771C-15F2-4599-8D2F-BC7C94CFA78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3774B0A-261B-49B7-AD95-132550F24BF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C8718C78-3003-42F7-8813-8D21AC38317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E3C2B33B-4803-48BB-8BE4-7CA72D8B039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7F0A8639-89FE-4973-8771-54BA2DBA21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8B27AF45-AA2C-4D22-AF3E-DD34E269CE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0893599-5E8D-4F71-BD5A-87D5C869D4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A9D7254A-4AEB-482D-AFFD-567F51F38CD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779C15D-5C6F-4A47-9881-C25F38344B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4306FCA-53D0-4846-9282-E2217ED199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B251BD2-DD8B-4F24-AD25-6238612707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DFBC587-A71A-4552-9D38-1B2BD34FBC9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2CCCB43E-9E88-4471-80A9-A9E9B68D958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2076EB73-204F-4DC9-A290-9355B25257C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3EDA771B-B4D6-43A9-9B66-F76135A331C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85A75F1-11C1-4AE7-BF7B-21B445A274D3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76EE8C98-73F7-40BD-AEA6-8C714F45D8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41285145-679F-4D4D-BA5E-E6D561C5AD43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EAF6299-105D-4A2A-81F6-D61384580A2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D6EC623-B6D2-43C8-8EE9-EC01E0736C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E6BBBEC6-A2D9-455C-81E7-5DFD6374DE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76C6BD5-D43D-4852-8BC0-69028266BC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48BE1860-1584-49E3-BD0C-2C48CE61D4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CB29F7A-149F-4515-A1E1-82DC8A2FE6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DD2406F-8075-441D-9510-B8BFAE6FA9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47AC13CA-213D-4C75-AA26-9DDF60EA4F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62A05862-9FDA-4019-AE76-7EE133E6C87E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F6744147-D867-4695-9A5D-9740378B0FC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06226D0-8EE3-4E8A-8D54-D98E101E75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A101F64D-74D8-4778-943D-32321D0C5B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F5E223A2-EEEC-43AF-8DCA-50FFBAD195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3E0E0DFA-8032-4EBB-AF8D-B83A02DB19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86CADC8-532F-4103-AB41-DF4B7D906C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9BD8D045-F04F-473C-91C7-098BD46580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FF82043C-5C8A-40AC-9438-3EAA1F319E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D6673350-DF2B-45AD-9F87-D321EE525A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85D3558-0DDC-486E-A745-E639589F73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547BF61C-0C61-4275-AA2A-7A3E3924AE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F663446C-D19A-4C9F-8286-33A6CF30F6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014E4C01-0808-46DF-A788-2B1CF0770A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42C6A05-14A2-4878-98EB-A746445265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60C09E2-FBEB-4A8A-B148-B6AD2CD32F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C0A8293E-8F6B-4AC4-88E8-BB30204D19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F70F9340-174A-48DA-ACCD-9BC8EC9F1D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4F1D62C4-6131-4562-8580-C882736310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158A8A5-DD57-493C-887B-EB6540F8E4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CCD95F3-3073-4AB2-AFFD-0AC5E697F5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570577D7-6C73-4183-BD08-FABBDB1FF3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0A430E65-276B-43F2-B672-B10172B533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7A2B1BFB-762F-419E-AA2A-652DD2D14C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E22F512-6FDB-4368-ACBC-1022230377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1BD65AD-F8DC-4EBB-9FB7-64D3E52A85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068323E-F5ED-4124-8B98-52938B8A68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2B9AD39-FCF6-47F4-98BB-003CACEBBD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AEC5811C-44FA-4C84-BC39-C1F0F7EC28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0BD0C63-A08A-4413-B1A3-1225CD782B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BB2C1690-AC58-4FA8-86BB-C403BAD6C1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9479AFCA-B36A-4BD2-9FA0-9183611561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74E104C3-9A01-46F3-A1D8-B3D9E98603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6A0E370-38EB-41D5-88DE-2A39E5EE47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42B01477-83A2-491B-AD47-7B809A9A2F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B902A6D5-F6CD-4FD0-9005-020208AC31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83AA6BF-A0EB-45C2-9DDB-5BDFAE1B19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EEB0F04-2C8A-4AE8-8C88-33C9BEAFC9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14A078A4-4BDC-44CB-BE10-883D6B3A76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BE7300A1-6EAA-45D1-8753-5D3D0A3F67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411D6848-E7E0-4B66-9C14-1976F3B274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FA5C63C2-05D5-4EEE-9DC3-F76CF63706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D08F52B-7B0E-482D-B079-AF8B75FD8C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7202AE21-A52B-43BF-A0B6-1C404779F2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684B1E08-B191-40A4-8218-4A2DAC6F2F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C4EBC4E8-EB40-415E-80B8-FCD3BA33D5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8C3121D-D92D-4851-9322-AA8ECF2186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5B0912B-2A4A-4E96-84AC-6D10382D1B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55F4F8F2-AAAC-4178-94E7-FD1EF25482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3E0CA86-81DC-43D3-9203-0640327F07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4758DB2-3A7F-4012-8454-B2C561780D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E844DDD-965B-48BA-956C-6E9D1D704B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0E05C7C-E8BB-4AE5-A327-D6E055CA49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1AC9723-E947-4E0C-ADCD-6BB7A2750D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6DFF2A8B-3BD4-40AE-90E0-B9447A96B4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F7E5717E-0897-4286-BA46-C172EE8075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C665DFDD-87C9-4E79-8267-113E4059DF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FBAC0D49-B25E-4722-9EE2-A94BB681DF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653FAE2-70EB-4684-973A-703ED19C1C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EEA17DD-7BBE-42E2-8FAC-517C6B7E98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3F059EE5-EFBD-4B84-800A-CBEBE95E05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C41992C-1699-44D3-80DD-8273E11CC9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8EFD4FEC-7047-4E0A-B835-E9493FE65A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B783E525-2C0E-4039-B19D-DDD845BC91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BA754AA-3227-44F2-95EA-B3300C088B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37D01211-DA05-4114-9A9B-9791693CD2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373FBDD-B8A9-44BB-AFED-235F536526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26E6BAF6-29E9-4EED-81F4-1A01979110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9B059359-B20D-4E53-B4AE-E2C3578F50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9B10564C-A4CB-4118-B03E-F98D886ED4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F2F165DA-042C-4255-AFBB-18931E4C8C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33899A3-EA81-4D5E-8A31-9D52F4E9C9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3863BB5C-C697-44D3-96E6-CDAB9DDDAB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185DA21-DD08-4322-BA2E-62D166F722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AAB4B88-15DA-4368-B496-F83E4A55BE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28C3323-A56E-4611-9C46-F68F8902B6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6FC57416-1102-4A9D-9F63-044AF7B403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92C83C01-30FB-4EFF-89DF-C01CF89B8C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1BABC5D-D0D3-452B-9974-B360CC3B5D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E7A2AF5B-1AC4-4CD5-9D1C-29606A7AED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28471B4E-936E-41AA-A6C6-1FCBC00971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E7F18595-383C-46E8-AFE6-60DC7C0879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FB17B82-162F-457A-9C00-C097DBC139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0D1B5B30-E292-4FB1-8FB0-E1CB3637E3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DBE7EDD5-2489-453E-8703-184E3C6082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40B23DA-29BD-4CA7-975E-6020213D63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76AEB22-5CDF-4EBB-9787-66167BF250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7AF5E29-91E5-4594-80BC-392D81D6200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93DF7E1-ECE6-40BE-AB16-8E860AB59A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42E77AD-A03A-49B3-A701-2C1E5D0A4CE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D7B47BD-F617-46B1-9E8E-7C2E477354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9CC82172-D9E3-43DC-94AA-A7FF23B319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32BBC09-2A65-4832-B0A3-AFEB650630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BB0BCCA-F5B2-4455-89D0-224386C5310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D98EA6E9-BBBF-4C67-AD6D-73AFE2D95C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57223CB-CD06-4258-B3B9-59434F7E7DC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D0A7A915-1456-4303-BEEB-9648A16330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798F2DD3-C508-4A81-BF8A-8507DFA0B2C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68C3FB10-03E0-4F8D-842F-27C7E8E7D9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79022F4-AB22-4875-9C1E-8CFFAE6939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020F78DF-961C-4EAD-9CB0-DDECCCCDF95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3DFB7D11-5FA8-421D-A3C0-BA5C27D9E9B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40317940-7083-4787-8127-F391886DDC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D6CCA0EE-824A-4767-9400-C28F3353A4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26E84C2-CB19-4873-BEB1-EFD8EA09BE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51831C97-5345-42DC-BDE4-E6F367B9B4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9602B667-C8B9-4689-8D75-AA9F7721910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5257BECE-3C73-4225-BE43-01443CE1491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1A9B4F0-3D6D-4D3F-AFB1-1C66CBC4F60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E04763D5-C784-418D-B283-73EBA9970D1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5B15FF9D-625C-4D06-80A6-744C28E047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7F8BD0D0-36AF-4DEA-8B81-AC9DDCF9BB5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85C3F98-0087-4AAE-A100-0EC663A1C57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88EF9D36-A245-4994-881D-A24B9C300E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C619AD51-DABA-4301-B6C6-5FC398A3E2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FD242B21-B0C0-4637-B385-AE544E47D0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28EEDF7B-121D-4B5B-9C3F-5B7FC07E48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254C58A6-BFA0-45A4-8C8C-E7216264AD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BB2B803-7072-461D-AD7C-81A6455BC4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0798D5A-0AFF-4AE0-B5D3-FAAC61DF72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43A3C2C-8CCE-49F4-B268-539D302EA6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633B7C4-FAA2-42E2-A914-93FD668AC64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51E266C-4536-4387-B224-D84F7584A9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8EA9A8D1-4007-4AFA-B310-B6345E3CC0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00411C52-822A-4D26-8115-8E113679360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795F605-CDEF-4A06-A870-762FF9A288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89B78BB7-CA23-4FD8-AB1A-574AE78D38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02451F67-8481-434A-B605-FC8A438227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1C0B585-6144-43F5-9816-2B066B6B7B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53FA0DFF-F624-4227-BEA4-3A38EEC77F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24EC2C51-6C0E-49BC-9E9A-BAAB9AD4BE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15C2773-07F3-459B-85B4-F628DA4518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738D13A-C7D3-451C-BD33-FBB92BACDF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0F567253-349F-480A-8F61-E8F8A7E45A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756040F0-11D2-4558-A810-CF0A727B3E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725ECB6-6F81-4F86-B7FD-1C68B09F08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5AB7DD3-8667-4A26-88D9-478B80261F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2D93F57-3AC0-4157-8C78-33AB05FEE1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FC17B45-CD0C-463A-9398-6F89A6DBF0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1EDD61B7-D647-459B-8B86-B8B044EDBF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FC166BAA-CE80-4CF6-B56D-24865768FC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DA522CBC-14BB-418D-82D6-C12918B24F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76FB6CE4-752C-4970-BF9E-DD31A43F6A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452D43B-1057-4C27-BA7F-83104B8654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60DE253-CD04-4589-A0E2-12F2FF6F32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6DCDBEF1-D84D-4495-AD07-4CDE3A5943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7AD83DE1-9A81-4FF4-8345-F393A20C09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14CBC34C-0FAD-4201-AE0A-97DF7E2A80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D3C9C1B5-B94D-428B-A2C2-ED56A3FDFC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668C58A4-C977-47CE-8C76-C4B4BAD448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557DB5EF-D750-4D72-97DC-0AD08002044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D691DA92-529A-4732-84CD-728137C092F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EE8C604D-CE25-4B73-9D03-AF8FAD76A04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8C56823D-9D64-4F35-9924-7A834AE420E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5CE6B68F-A9AF-4D79-9033-26AD70E9EB3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3784B786-4A32-4E32-8B4D-C6A8821072C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AAF33421-38B4-4AE2-89CF-12B68B271A2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A711F091-D233-4A41-A117-EAC45711DA7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2DB9E670-7958-467E-A32C-5E0A139109F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4AFBBBF1-C08E-437F-8BB6-0E4E7893A0C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510A89AC-EC18-497C-818C-A035D5B898A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CF9A78E2-6CE2-4ED1-8947-B147A613F97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C82424F8-1D34-42D4-A1DB-129A5106833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F81671ED-EBF0-412F-B52A-C61A748DB84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88838620-88D0-449D-B4BB-8BD9469D730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F9931635-C4F9-4450-9D35-307513B5EF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8659B132-F759-4170-87E4-6D7F4657AC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FD1DB02-B65F-4FCB-8682-9804FC45C4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6170448-812C-4CEC-B273-D6F961511E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810F3CC-C39F-46CB-9C0C-EF455115E9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B3ADD17A-038C-4E38-9A44-ABA68F2E42B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D90E22A1-1EE8-46E7-A2D9-EC884DA5311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D1CD987B-02E1-4851-A3D7-E0669EB40B2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C595EB6-F82D-44FC-BEC7-3B40B2CF49A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A55F02D-C961-4C13-B329-B97219ED56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A48EF11-4130-4FB6-B1A4-4859102411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2F4FE00-0981-45EB-9A57-13C76E2199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63C384B-DB20-448E-8D38-0987FE0FFD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FD8B7AED-1020-46C1-8A88-68C18B3B04C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94436FBE-E466-4539-B33E-386C0E60DF6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9B301FE6-FC83-48CE-A1E4-1DD157EBB2C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37F4E45A-9833-461D-96E0-6228B040EE4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8AFB3108-6ECA-43A3-974D-826A669642E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96E03774-6A6D-4959-B156-F3D49F62219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A192CE9E-FB1F-44C7-9BEF-414A99F2A1F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468CBFF3-947D-4B9A-9E8F-512A80113DB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B442CBE-3AFC-4849-B653-EBFA97DA17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39AA6AE-347C-45CC-AEC0-3D8F8D6093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16C92E2B-4CFE-465C-A24F-625FE20C71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DFA50D1D-7BA3-4F5A-A28B-CC52710F90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869FD40D-7687-405C-B5F9-65B054DE3E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70D71157-C7AD-4F3A-ADA9-87E5F784EE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F14100C4-C513-44F9-8701-A975032C2E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27E3B9F3-A703-4977-BF3D-8896F34B29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63F23AFE-A5CE-4F45-8929-A623229D5E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E0B1C1E-237A-47D0-93F2-08D35931DB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56142CB-ABDE-4BAE-820A-5C3A36FB25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0D453E76-AF65-4ED9-A7FB-3F2D8E6913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B2326A9A-49BD-4EED-BB94-5BF957BAD5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710B6F94-4C4D-42DE-A617-9737C19494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CB0F21F-8EB2-4827-AEFB-4594ED81E8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C3A1A426-0D6D-4893-8BCD-4A3ADD7AA5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8FF61FC0-3805-4A8D-851D-0355A27300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F31BE170-2DFA-4558-96C8-2EA1A2AD7A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DFC3E3A4-55E7-4A31-BB4A-A78C7F4FC9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42C6B6C2-1FF3-4BE1-9A11-82CC4CA455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F29307DD-D142-45D8-B71F-6942A18707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864D495-EC19-4F11-85AC-4265C1E2F9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5CADE9D-9C99-4517-B740-E0E3942687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5AF1026E-322D-40C5-AF3F-0334622044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A96CAEB-0C2A-410D-813F-69021F0EAD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B9C7EE5-0D60-4DC9-82D4-FA97522B77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46F68A8-F15D-4973-B1C4-A3EA4C008A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91F65CD-894C-473C-8DB3-E2E0CA2A40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2F2CB027-3314-415C-AEC5-D2095BE871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5C5DA764-D5AB-4420-BD0F-7CDAE7ED03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8C95EA0-AF38-473B-AF19-DC14509F5D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B4071BA1-BB06-471F-B057-B202C432AE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8321AF18-EC59-4B3B-9D6E-7E4D2CAAE4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0AEFA6AC-9C4A-4472-B4C2-FA746C6E06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F59001B8-D539-4768-8FC5-6C03AF9A4E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A532F96-811C-4714-AC4C-9C07453627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792CABAB-40CA-4765-8FFD-A70450C6AF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F0E92FF1-79C0-4BFB-9AD0-BDC8C38F57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5330BB93-5095-444A-AAD1-E8A2852B22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BE44AE5B-7E30-4772-8499-7F3237B442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59DE1E78-BB2D-4E55-92A9-9C25ED9A31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EB78D6C4-7816-4A01-91FD-A19A1813B8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7C0C306-C438-4B09-A85D-5C06C397B62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9097609F-272A-46B7-A1C9-D6C23D22899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21515F9B-1846-4177-A593-2A75AC5151C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EA82228B-AE2B-4652-9C9E-4264BCB979D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3FEBB6F-B6F5-471F-90E4-D5EFDDD74E78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67AB58C5-015D-4F34-9C5C-445F308E403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6F9EA1FD-3B99-4DA0-9502-CDF832B851C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19A02DF7-83BC-4064-8261-76E300C0DC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EBCBFCC2-3B42-46D0-84C0-1CAFE5656D8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2F4F8AC-AC01-42FB-A2C5-FA62BBE2E50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5AB59204-AC08-4283-9752-D920287ABC8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ED995F88-E5F6-4552-89F7-82C93735146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F6DE37C6-D50E-4792-AA5F-36CE1D1C011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7A315D8-2FDC-4CB5-98E5-118319CC642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58B5A2E-125E-445F-9189-4505C91E7BC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789C0A64-AD66-4B56-8D78-895C8473082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0F1B3CC-FFF0-482F-B754-06E3C69F573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0B4BC39-68AD-41A0-8963-64101D6AA9D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CECED79-9955-4445-B2E2-3C6E64AF963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717D4C7-E628-45EF-A9E6-3AF274CCEA0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20DAEF16-C0E1-4B64-9FDA-5CA88EAD049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4623BAF-B23D-41A7-B97C-504AFD8B98C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97DE7AD-8965-4253-98A2-558846F46FD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5B5299B4-C145-4A2F-8BA4-0AC59DFDD84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26E3A36-C82E-4D07-827C-61F034368AE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043E707B-9F50-485F-A7C9-6D6A8B8A244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AD6EC69F-E7C5-41B1-B69D-185FACC44FCB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D3ACEDF-5813-4C42-871C-953EF1E52EC7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20DC518-9371-4C19-9E6F-61C2EEDDE2B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F8150C90-12C8-42CE-99DB-9B816B44734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2F8516F-17A9-4736-8687-7E74BC82D1D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50528C6-2051-4454-B1BB-E0BDB1673DB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D6FCB25-FE62-40C0-8686-E22FCA16224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46718009-BE41-4DF6-9056-3CB2418181B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7158AAE-7178-4E54-8CDD-56F86916CF7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FDBF637-DBBA-4684-B94E-FEB5EF7F2EB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3798486A-9744-4AD3-B6E0-289B068A59E5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E60A3E90-7B93-486C-97B9-0B21DDA0782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205EEF3-DB51-46EC-8D6E-436DB2BFEEC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2F8B4CCD-224B-4E4C-8E9C-A6029819D71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99173EF1-F7CA-49FB-A377-CB4FEE21C4E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155912B-6B0F-4928-9555-D70369CFC9D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924DF6DE-3080-490F-8EBD-9344C36BD4FA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8E804824-A414-4CFA-A062-E3130DCED6A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9909AA2-F817-4EAC-99B2-2826D8B372E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6A91A424-76E5-4A3E-B05B-73A5D763DA8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24000E3C-7354-4C03-83CE-320FDC7CAEE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99098E6-3F56-45D8-9E33-B265A5B1CA9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11DC3AF8-FE5F-4E56-B3FA-8F42F2DF790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84E494D7-8B8C-4382-B9BE-97016CB5AEF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56B66AA-B27E-4939-9DFB-4F5087ECA2C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285D4F13-026B-4F69-AA5D-C0E828E0E7E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5CED1FA8-1B3A-4AF3-9950-BA889902ED5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1BEE2879-FF69-4B63-9E4B-4CE3DD35063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DE494D48-3514-426C-8790-9C43C6D57C0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3B031748-8831-460C-AD62-C07B5768121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99AC48D-4928-4DAC-A78E-5999D896C3D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CB2BE9E-230B-4292-9711-BEAC1326B90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01D5CA32-79B6-42F8-AFBB-2022932FFFE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8867528-9735-441E-B7D7-3A8704DF807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59CF5E8-1072-4DDC-9258-1359F3EBCBAD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BEA6166F-4AEA-4F6C-8A57-AACA101D045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<sst xmlns="http://schemas.openxmlformats.org/spreadsheetml/2006/main" count="1102" uniqueCount="271">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</sst>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260108</v>
      </c>
    </row>
    <row r="8" spans="1:3" ht="15" customHeight="1" x14ac:dyDescent="0.25">
      <c r="B8" s="7" t="s">
        <v>106</v>
      </c>
      <c r="C8" s="70">
        <v>0.67700000000000005</v>
      </c>
    </row>
    <row r="9" spans="1:3" ht="15" customHeight="1" x14ac:dyDescent="0.25">
      <c r="B9" s="9" t="s">
        <v>107</v>
      </c>
      <c r="C9" s="71">
        <v>0.13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0.73299999999999998</v>
      </c>
    </row>
    <row r="12" spans="1:3" ht="15" customHeight="1" x14ac:dyDescent="0.25">
      <c r="B12" s="7" t="s">
        <v>109</v>
      </c>
      <c r="C12" s="70">
        <v>0.14000000000000001</v>
      </c>
    </row>
    <row r="13" spans="1:3" ht="15" customHeight="1" x14ac:dyDescent="0.25">
      <c r="B13" s="7" t="s">
        <v>110</v>
      </c>
      <c r="C13" s="70">
        <v>0.52200000000000002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8.2100000000000006E-2</v>
      </c>
    </row>
    <row r="24" spans="1:3" ht="15" customHeight="1" x14ac:dyDescent="0.25">
      <c r="B24" s="20" t="s">
        <v>102</v>
      </c>
      <c r="C24" s="71">
        <v>0.47039999999999998</v>
      </c>
    </row>
    <row r="25" spans="1:3" ht="15" customHeight="1" x14ac:dyDescent="0.25">
      <c r="B25" s="20" t="s">
        <v>103</v>
      </c>
      <c r="C25" s="71">
        <v>0.35039999999999999</v>
      </c>
    </row>
    <row r="26" spans="1:3" ht="15" customHeight="1" x14ac:dyDescent="0.25">
      <c r="B26" s="20" t="s">
        <v>104</v>
      </c>
      <c r="C26" s="71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25.4</v>
      </c>
    </row>
    <row r="38" spans="1:5" ht="15" customHeight="1" x14ac:dyDescent="0.25">
      <c r="B38" s="16" t="s">
        <v>91</v>
      </c>
      <c r="C38" s="75">
        <v>30.8</v>
      </c>
      <c r="D38" s="17"/>
      <c r="E38" s="18"/>
    </row>
    <row r="39" spans="1:5" ht="15" customHeight="1" x14ac:dyDescent="0.25">
      <c r="B39" s="16" t="s">
        <v>90</v>
      </c>
      <c r="C39" s="75">
        <v>37.6</v>
      </c>
      <c r="D39" s="17"/>
      <c r="E39" s="17"/>
    </row>
    <row r="40" spans="1:5" ht="15" customHeight="1" x14ac:dyDescent="0.25">
      <c r="B40" s="16" t="s">
        <v>171</v>
      </c>
      <c r="C40" s="75">
        <v>1.29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2.4199999999999999E-2</v>
      </c>
      <c r="D45" s="17"/>
    </row>
    <row r="46" spans="1:5" ht="15.75" customHeight="1" x14ac:dyDescent="0.25">
      <c r="B46" s="16" t="s">
        <v>11</v>
      </c>
      <c r="C46" s="71">
        <v>0.12659999999999999</v>
      </c>
      <c r="D46" s="17"/>
    </row>
    <row r="47" spans="1:5" ht="15.75" customHeight="1" x14ac:dyDescent="0.25">
      <c r="B47" s="16" t="s">
        <v>12</v>
      </c>
      <c r="C47" s="71">
        <v>0.17960000000000001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2.0903290759899926</v>
      </c>
      <c r="D51" s="17"/>
    </row>
    <row r="52" spans="1:4" ht="15" customHeight="1" x14ac:dyDescent="0.25">
      <c r="B52" s="16" t="s">
        <v>125</v>
      </c>
      <c r="C52" s="76">
        <v>1.91456994792</v>
      </c>
    </row>
    <row r="53" spans="1:4" ht="15.75" customHeight="1" x14ac:dyDescent="0.25">
      <c r="B53" s="16" t="s">
        <v>126</v>
      </c>
      <c r="C53" s="76">
        <v>1.91456994792</v>
      </c>
    </row>
    <row r="54" spans="1:4" ht="15.75" customHeight="1" x14ac:dyDescent="0.25">
      <c r="B54" s="16" t="s">
        <v>127</v>
      </c>
      <c r="C54" s="76">
        <v>1.3075594395299999</v>
      </c>
    </row>
    <row r="55" spans="1:4" ht="15.75" customHeight="1" x14ac:dyDescent="0.25">
      <c r="B55" s="16" t="s">
        <v>128</v>
      </c>
      <c r="C55" s="76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0.4505712039352282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75.762459741294762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40.277595090905891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692.41497754805209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1.948123472199554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1.877060805387784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1.877060805387784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1.877060805387784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1.877060805387784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13.409894534701802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13.409894534701802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1.1166603345971493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0.45500000000000002</v>
      </c>
      <c r="C18" s="85">
        <v>0.95</v>
      </c>
      <c r="D18" s="87">
        <v>15.878970056306116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15.878970056306116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15.878970056306116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16.240204677311851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23.349725533539807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4.5279095940423639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18.982269813808944</v>
      </c>
      <c r="E24" s="86" t="s">
        <v>202</v>
      </c>
    </row>
    <row r="25" spans="1:5" ht="15.75" customHeight="1" x14ac:dyDescent="0.25">
      <c r="A25" s="52" t="s">
        <v>87</v>
      </c>
      <c r="B25" s="85">
        <v>0.01</v>
      </c>
      <c r="C25" s="85">
        <v>0.95</v>
      </c>
      <c r="D25" s="86">
        <v>19.19542214773287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6.1138421578617166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10.010054663486137</v>
      </c>
      <c r="E27" s="86" t="s">
        <v>202</v>
      </c>
    </row>
    <row r="28" spans="1:5" ht="15.75" customHeight="1" x14ac:dyDescent="0.25">
      <c r="A28" s="52" t="s">
        <v>84</v>
      </c>
      <c r="B28" s="85">
        <v>0.42899999999999999</v>
      </c>
      <c r="C28" s="85">
        <v>0.95</v>
      </c>
      <c r="D28" s="86">
        <v>1.6117931215784556</v>
      </c>
      <c r="E28" s="86" t="s">
        <v>202</v>
      </c>
    </row>
    <row r="29" spans="1:5" ht="15.75" customHeight="1" x14ac:dyDescent="0.25">
      <c r="A29" s="52" t="s">
        <v>58</v>
      </c>
      <c r="B29" s="85">
        <v>0.45500000000000002</v>
      </c>
      <c r="C29" s="85">
        <v>0.95</v>
      </c>
      <c r="D29" s="86">
        <v>154.12104998731232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2.5851124882101071</v>
      </c>
      <c r="E30" s="86" t="s">
        <v>202</v>
      </c>
    </row>
    <row r="31" spans="1:5" ht="15.75" customHeight="1" x14ac:dyDescent="0.25">
      <c r="A31" s="52" t="s">
        <v>28</v>
      </c>
      <c r="B31" s="85">
        <v>0.54</v>
      </c>
      <c r="C31" s="85">
        <v>0.95</v>
      </c>
      <c r="D31" s="86">
        <v>2.4385423103594888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0.63400000000000001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0.96200000000000008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0.74400000000000011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3.2209000111311994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2.4596659029691801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0.1039999948</v>
      </c>
      <c r="C3" s="26">
        <f>frac_mam_1_5months * 2.6</f>
        <v>0.1039999948</v>
      </c>
      <c r="D3" s="26">
        <f>frac_mam_6_11months * 2.6</f>
        <v>0.1039999948</v>
      </c>
      <c r="E3" s="26">
        <f>frac_mam_12_23months * 2.6</f>
        <v>0.1039999948</v>
      </c>
      <c r="F3" s="26">
        <f>frac_mam_24_59months * 2.6</f>
        <v>0.1039999948</v>
      </c>
    </row>
    <row r="4" spans="1:6" ht="15.75" customHeight="1" x14ac:dyDescent="0.25">
      <c r="A4" s="3" t="s">
        <v>66</v>
      </c>
      <c r="B4" s="26">
        <f>frac_sam_1month * 2.6</f>
        <v>8.320000000000001E-2</v>
      </c>
      <c r="C4" s="26">
        <f>frac_sam_1_5months * 2.6</f>
        <v>8.320000000000001E-2</v>
      </c>
      <c r="D4" s="26">
        <f>frac_sam_6_11months * 2.6</f>
        <v>8.320000000000001E-2</v>
      </c>
      <c r="E4" s="26">
        <f>frac_sam_12_23months * 2.6</f>
        <v>8.320000000000001E-2</v>
      </c>
      <c r="F4" s="26">
        <f>frac_sam_24_59months * 2.6</f>
        <v>8.320000000000001E-2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53079.452081999996</v>
      </c>
      <c r="C2" s="78">
        <v>106632</v>
      </c>
      <c r="D2" s="78">
        <v>212905</v>
      </c>
      <c r="E2" s="78">
        <v>193562</v>
      </c>
      <c r="F2" s="78">
        <v>121516</v>
      </c>
      <c r="G2" s="22">
        <f t="shared" ref="G2:G40" si="0">C2+D2+E2+F2</f>
        <v>634615</v>
      </c>
      <c r="H2" s="22">
        <f t="shared" ref="H2:H40" si="1">(B2 + stillbirth*B2/(1000-stillbirth))/(1-abortion)</f>
        <v>61952.543117454268</v>
      </c>
      <c r="I2" s="22">
        <f>G2-H2</f>
        <v>572662.45688254572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52866.557666666675</v>
      </c>
      <c r="C3" s="78">
        <v>107000</v>
      </c>
      <c r="D3" s="78">
        <v>213000</v>
      </c>
      <c r="E3" s="78">
        <v>198000</v>
      </c>
      <c r="F3" s="78">
        <v>127000</v>
      </c>
      <c r="G3" s="22">
        <f t="shared" si="0"/>
        <v>645000</v>
      </c>
      <c r="H3" s="22">
        <f t="shared" si="1"/>
        <v>61704.059948769187</v>
      </c>
      <c r="I3" s="22">
        <f t="shared" ref="I3:I15" si="3">G3-H3</f>
        <v>583295.94005123083</v>
      </c>
    </row>
    <row r="4" spans="1:9" ht="15.75" customHeight="1" x14ac:dyDescent="0.25">
      <c r="A4" s="7">
        <f t="shared" si="2"/>
        <v>2019</v>
      </c>
      <c r="B4" s="77">
        <v>52626.833333333336</v>
      </c>
      <c r="C4" s="78">
        <v>107000</v>
      </c>
      <c r="D4" s="78">
        <v>214000</v>
      </c>
      <c r="E4" s="78">
        <v>203000</v>
      </c>
      <c r="F4" s="78">
        <v>134000</v>
      </c>
      <c r="G4" s="22">
        <f t="shared" si="0"/>
        <v>658000</v>
      </c>
      <c r="H4" s="22">
        <f t="shared" si="1"/>
        <v>61424.261806275317</v>
      </c>
      <c r="I4" s="22">
        <f t="shared" si="3"/>
        <v>596575.73819372465</v>
      </c>
    </row>
    <row r="5" spans="1:9" ht="15.75" customHeight="1" x14ac:dyDescent="0.25">
      <c r="A5" s="7">
        <f t="shared" si="2"/>
        <v>2020</v>
      </c>
      <c r="B5" s="77">
        <v>52323.311999999998</v>
      </c>
      <c r="C5" s="78">
        <v>107000</v>
      </c>
      <c r="D5" s="78">
        <v>214000</v>
      </c>
      <c r="E5" s="78">
        <v>205000</v>
      </c>
      <c r="F5" s="78">
        <v>141000</v>
      </c>
      <c r="G5" s="22">
        <f t="shared" si="0"/>
        <v>667000</v>
      </c>
      <c r="H5" s="22">
        <f t="shared" si="1"/>
        <v>61070.001960839232</v>
      </c>
      <c r="I5" s="22">
        <f t="shared" si="3"/>
        <v>605929.99803916074</v>
      </c>
    </row>
    <row r="6" spans="1:9" ht="15.75" customHeight="1" x14ac:dyDescent="0.25">
      <c r="A6" s="7">
        <f t="shared" si="2"/>
        <v>2021</v>
      </c>
      <c r="B6" s="77">
        <v>52125.652800000003</v>
      </c>
      <c r="C6" s="78">
        <v>108000</v>
      </c>
      <c r="D6" s="78">
        <v>214000</v>
      </c>
      <c r="E6" s="78">
        <v>208000</v>
      </c>
      <c r="F6" s="78">
        <v>148000</v>
      </c>
      <c r="G6" s="22">
        <f t="shared" si="0"/>
        <v>678000</v>
      </c>
      <c r="H6" s="22">
        <f t="shared" si="1"/>
        <v>60839.300820751283</v>
      </c>
      <c r="I6" s="22">
        <f t="shared" si="3"/>
        <v>617160.69917924877</v>
      </c>
    </row>
    <row r="7" spans="1:9" ht="15.75" customHeight="1" x14ac:dyDescent="0.25">
      <c r="A7" s="7">
        <f t="shared" si="2"/>
        <v>2022</v>
      </c>
      <c r="B7" s="77">
        <v>51914.128200000006</v>
      </c>
      <c r="C7" s="78">
        <v>109000</v>
      </c>
      <c r="D7" s="78">
        <v>215000</v>
      </c>
      <c r="E7" s="78">
        <v>210000</v>
      </c>
      <c r="F7" s="78">
        <v>156000</v>
      </c>
      <c r="G7" s="22">
        <f t="shared" si="0"/>
        <v>690000</v>
      </c>
      <c r="H7" s="22">
        <f t="shared" si="1"/>
        <v>60592.416454242419</v>
      </c>
      <c r="I7" s="22">
        <f t="shared" si="3"/>
        <v>629407.58354575757</v>
      </c>
    </row>
    <row r="8" spans="1:9" ht="15.75" customHeight="1" x14ac:dyDescent="0.25">
      <c r="A8" s="7">
        <f t="shared" si="2"/>
        <v>2023</v>
      </c>
      <c r="B8" s="77">
        <v>51626.366400000006</v>
      </c>
      <c r="C8" s="78">
        <v>111000</v>
      </c>
      <c r="D8" s="78">
        <v>215000</v>
      </c>
      <c r="E8" s="78">
        <v>211000</v>
      </c>
      <c r="F8" s="78">
        <v>164000</v>
      </c>
      <c r="G8" s="22">
        <f t="shared" si="0"/>
        <v>701000</v>
      </c>
      <c r="H8" s="22">
        <f t="shared" si="1"/>
        <v>60256.550603658368</v>
      </c>
      <c r="I8" s="22">
        <f t="shared" si="3"/>
        <v>640743.44939634157</v>
      </c>
    </row>
    <row r="9" spans="1:9" ht="15.75" customHeight="1" x14ac:dyDescent="0.25">
      <c r="A9" s="7">
        <f t="shared" si="2"/>
        <v>2024</v>
      </c>
      <c r="B9" s="77">
        <v>51324.739200000004</v>
      </c>
      <c r="C9" s="78">
        <v>112000</v>
      </c>
      <c r="D9" s="78">
        <v>215000</v>
      </c>
      <c r="E9" s="78">
        <v>211000</v>
      </c>
      <c r="F9" s="78">
        <v>172000</v>
      </c>
      <c r="G9" s="22">
        <f t="shared" si="0"/>
        <v>710000</v>
      </c>
      <c r="H9" s="22">
        <f t="shared" si="1"/>
        <v>59904.50152665341</v>
      </c>
      <c r="I9" s="22">
        <f t="shared" si="3"/>
        <v>650095.49847334658</v>
      </c>
    </row>
    <row r="10" spans="1:9" ht="15.75" customHeight="1" x14ac:dyDescent="0.25">
      <c r="A10" s="7">
        <f t="shared" si="2"/>
        <v>2025</v>
      </c>
      <c r="B10" s="77">
        <v>50949.474000000002</v>
      </c>
      <c r="C10" s="78">
        <v>114000</v>
      </c>
      <c r="D10" s="78">
        <v>216000</v>
      </c>
      <c r="E10" s="78">
        <v>212000</v>
      </c>
      <c r="F10" s="78">
        <v>178000</v>
      </c>
      <c r="G10" s="22">
        <f t="shared" si="0"/>
        <v>720000</v>
      </c>
      <c r="H10" s="22">
        <f t="shared" si="1"/>
        <v>59466.504663996195</v>
      </c>
      <c r="I10" s="22">
        <f t="shared" si="3"/>
        <v>660533.49533600383</v>
      </c>
    </row>
    <row r="11" spans="1:9" ht="15.75" customHeight="1" x14ac:dyDescent="0.25">
      <c r="A11" s="7">
        <f t="shared" si="2"/>
        <v>2026</v>
      </c>
      <c r="B11" s="77">
        <v>50817.1538</v>
      </c>
      <c r="C11" s="78">
        <v>117000</v>
      </c>
      <c r="D11" s="78">
        <v>217000</v>
      </c>
      <c r="E11" s="78">
        <v>212000</v>
      </c>
      <c r="F11" s="78">
        <v>184000</v>
      </c>
      <c r="G11" s="22">
        <f t="shared" si="0"/>
        <v>730000</v>
      </c>
      <c r="H11" s="22">
        <f t="shared" si="1"/>
        <v>59312.064997152112</v>
      </c>
      <c r="I11" s="22">
        <f t="shared" si="3"/>
        <v>670687.93500284792</v>
      </c>
    </row>
    <row r="12" spans="1:9" ht="15.75" customHeight="1" x14ac:dyDescent="0.25">
      <c r="A12" s="7">
        <f t="shared" si="2"/>
        <v>2027</v>
      </c>
      <c r="B12" s="77">
        <v>50620.957999999991</v>
      </c>
      <c r="C12" s="78">
        <v>119000</v>
      </c>
      <c r="D12" s="78">
        <v>218000</v>
      </c>
      <c r="E12" s="78">
        <v>214000</v>
      </c>
      <c r="F12" s="78">
        <v>190000</v>
      </c>
      <c r="G12" s="22">
        <f t="shared" si="0"/>
        <v>741000</v>
      </c>
      <c r="H12" s="22">
        <f t="shared" si="1"/>
        <v>59083.071888101425</v>
      </c>
      <c r="I12" s="22">
        <f t="shared" si="3"/>
        <v>681916.9281118986</v>
      </c>
    </row>
    <row r="13" spans="1:9" ht="15.75" customHeight="1" x14ac:dyDescent="0.25">
      <c r="A13" s="7">
        <f t="shared" si="2"/>
        <v>2028</v>
      </c>
      <c r="B13" s="77">
        <v>50399.868599999987</v>
      </c>
      <c r="C13" s="78">
        <v>122000</v>
      </c>
      <c r="D13" s="78">
        <v>219000</v>
      </c>
      <c r="E13" s="78">
        <v>214000</v>
      </c>
      <c r="F13" s="78">
        <v>195000</v>
      </c>
      <c r="G13" s="22">
        <f t="shared" si="0"/>
        <v>750000</v>
      </c>
      <c r="H13" s="22">
        <f t="shared" si="1"/>
        <v>58825.023810190745</v>
      </c>
      <c r="I13" s="22">
        <f t="shared" si="3"/>
        <v>691174.97618980927</v>
      </c>
    </row>
    <row r="14" spans="1:9" ht="15.75" customHeight="1" x14ac:dyDescent="0.25">
      <c r="A14" s="7">
        <f t="shared" si="2"/>
        <v>2029</v>
      </c>
      <c r="B14" s="77">
        <v>50153.885599999987</v>
      </c>
      <c r="C14" s="78">
        <v>125000</v>
      </c>
      <c r="D14" s="78">
        <v>221000</v>
      </c>
      <c r="E14" s="78">
        <v>215000</v>
      </c>
      <c r="F14" s="78">
        <v>199000</v>
      </c>
      <c r="G14" s="22">
        <f t="shared" si="0"/>
        <v>760000</v>
      </c>
      <c r="H14" s="22">
        <f t="shared" si="1"/>
        <v>58537.920763420065</v>
      </c>
      <c r="I14" s="22">
        <f t="shared" si="3"/>
        <v>701462.07923657994</v>
      </c>
    </row>
    <row r="15" spans="1:9" ht="15.75" customHeight="1" x14ac:dyDescent="0.25">
      <c r="A15" s="7">
        <f t="shared" si="2"/>
        <v>2030</v>
      </c>
      <c r="B15" s="77">
        <v>49865.2</v>
      </c>
      <c r="C15" s="78">
        <v>126000</v>
      </c>
      <c r="D15" s="78">
        <v>223000</v>
      </c>
      <c r="E15" s="78">
        <v>215000</v>
      </c>
      <c r="F15" s="78">
        <v>202000</v>
      </c>
      <c r="G15" s="22">
        <f t="shared" si="0"/>
        <v>766000</v>
      </c>
      <c r="H15" s="22">
        <f t="shared" si="1"/>
        <v>58200.97668468771</v>
      </c>
      <c r="I15" s="22">
        <f t="shared" si="3"/>
        <v>707799.02331531234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128.38828351867934</v>
      </c>
      <c r="I17" s="22">
        <f t="shared" si="4"/>
        <v>-128.38828351867934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8.3443785749999999E-2</v>
      </c>
    </row>
    <row r="4" spans="1:8" ht="15.75" customHeight="1" x14ac:dyDescent="0.25">
      <c r="B4" s="24" t="s">
        <v>7</v>
      </c>
      <c r="C4" s="79">
        <v>0.19215708982329743</v>
      </c>
    </row>
    <row r="5" spans="1:8" ht="15.75" customHeight="1" x14ac:dyDescent="0.25">
      <c r="B5" s="24" t="s">
        <v>8</v>
      </c>
      <c r="C5" s="79">
        <v>8.7737112922844376E-2</v>
      </c>
    </row>
    <row r="6" spans="1:8" ht="15.75" customHeight="1" x14ac:dyDescent="0.25">
      <c r="B6" s="24" t="s">
        <v>10</v>
      </c>
      <c r="C6" s="79">
        <v>0.10129418443181418</v>
      </c>
    </row>
    <row r="7" spans="1:8" ht="15.75" customHeight="1" x14ac:dyDescent="0.25">
      <c r="B7" s="24" t="s">
        <v>13</v>
      </c>
      <c r="C7" s="79">
        <v>0.17061725394971122</v>
      </c>
    </row>
    <row r="8" spans="1:8" ht="15.75" customHeight="1" x14ac:dyDescent="0.25">
      <c r="B8" s="24" t="s">
        <v>14</v>
      </c>
      <c r="C8" s="79">
        <v>5.7325985315705998E-4</v>
      </c>
    </row>
    <row r="9" spans="1:8" ht="15.75" customHeight="1" x14ac:dyDescent="0.25">
      <c r="B9" s="24" t="s">
        <v>27</v>
      </c>
      <c r="C9" s="79">
        <v>4.9525601836962155E-2</v>
      </c>
    </row>
    <row r="10" spans="1:8" ht="15.75" customHeight="1" x14ac:dyDescent="0.25">
      <c r="B10" s="24" t="s">
        <v>15</v>
      </c>
      <c r="C10" s="79">
        <v>0.3146517114322136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0.38482241244490306</v>
      </c>
      <c r="D14" s="79">
        <v>0.38482241244490306</v>
      </c>
      <c r="E14" s="79">
        <v>0.33525913652487899</v>
      </c>
      <c r="F14" s="79">
        <v>0.33525913652487899</v>
      </c>
    </row>
    <row r="15" spans="1:8" ht="15.75" customHeight="1" x14ac:dyDescent="0.25">
      <c r="B15" s="24" t="s">
        <v>16</v>
      </c>
      <c r="C15" s="79">
        <v>0.199586134945405</v>
      </c>
      <c r="D15" s="79">
        <v>0.199586134945405</v>
      </c>
      <c r="E15" s="79">
        <v>0.14090867220658501</v>
      </c>
      <c r="F15" s="79">
        <v>0.14090867220658501</v>
      </c>
    </row>
    <row r="16" spans="1:8" ht="15.75" customHeight="1" x14ac:dyDescent="0.25">
      <c r="B16" s="24" t="s">
        <v>17</v>
      </c>
      <c r="C16" s="79">
        <v>1.5057028525802601E-2</v>
      </c>
      <c r="D16" s="79">
        <v>1.5057028525802601E-2</v>
      </c>
      <c r="E16" s="79">
        <v>2.1399746910899999E-2</v>
      </c>
      <c r="F16" s="79">
        <v>2.1399746910899999E-2</v>
      </c>
    </row>
    <row r="17" spans="1:8" ht="15.75" customHeight="1" x14ac:dyDescent="0.25">
      <c r="B17" s="24" t="s">
        <v>18</v>
      </c>
      <c r="C17" s="79">
        <v>2.47183275173071E-3</v>
      </c>
      <c r="D17" s="79">
        <v>2.47183275173071E-3</v>
      </c>
      <c r="E17" s="79">
        <v>6.68668229557176E-3</v>
      </c>
      <c r="F17" s="79">
        <v>6.68668229557176E-3</v>
      </c>
    </row>
    <row r="18" spans="1:8" ht="15.75" customHeight="1" x14ac:dyDescent="0.25">
      <c r="B18" s="24" t="s">
        <v>19</v>
      </c>
      <c r="C18" s="79">
        <v>4.26853683686855E-4</v>
      </c>
      <c r="D18" s="79">
        <v>4.26853683686855E-4</v>
      </c>
      <c r="E18" s="79">
        <v>4.3150555488421999E-3</v>
      </c>
      <c r="F18" s="79">
        <v>4.3150555488421999E-3</v>
      </c>
    </row>
    <row r="19" spans="1:8" ht="15.75" customHeight="1" x14ac:dyDescent="0.25">
      <c r="B19" s="24" t="s">
        <v>20</v>
      </c>
      <c r="C19" s="79">
        <v>1.9404571666630899E-2</v>
      </c>
      <c r="D19" s="79">
        <v>1.9404571666630899E-2</v>
      </c>
      <c r="E19" s="79">
        <v>2.1851066286371901E-2</v>
      </c>
      <c r="F19" s="79">
        <v>2.1851066286371901E-2</v>
      </c>
    </row>
    <row r="20" spans="1:8" ht="15.75" customHeight="1" x14ac:dyDescent="0.25">
      <c r="B20" s="24" t="s">
        <v>21</v>
      </c>
      <c r="C20" s="79">
        <v>0.123589596250143</v>
      </c>
      <c r="D20" s="79">
        <v>0.123589596250143</v>
      </c>
      <c r="E20" s="79">
        <v>4.3035084966401203E-2</v>
      </c>
      <c r="F20" s="79">
        <v>4.3035084966401203E-2</v>
      </c>
    </row>
    <row r="21" spans="1:8" ht="15.75" customHeight="1" x14ac:dyDescent="0.25">
      <c r="B21" s="24" t="s">
        <v>22</v>
      </c>
      <c r="C21" s="79">
        <v>2.7133155659110997E-2</v>
      </c>
      <c r="D21" s="79">
        <v>2.7133155659110997E-2</v>
      </c>
      <c r="E21" s="79">
        <v>0.130853889890516</v>
      </c>
      <c r="F21" s="79">
        <v>0.130853889890516</v>
      </c>
    </row>
    <row r="22" spans="1:8" ht="15.75" customHeight="1" x14ac:dyDescent="0.25">
      <c r="B22" s="24" t="s">
        <v>23</v>
      </c>
      <c r="C22" s="79">
        <v>0.22750841407258693</v>
      </c>
      <c r="D22" s="79">
        <v>0.22750841407258693</v>
      </c>
      <c r="E22" s="79">
        <v>0.29569066536993294</v>
      </c>
      <c r="F22" s="79">
        <v>0.29569066536993294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4.6300000000000001E-2</v>
      </c>
    </row>
    <row r="27" spans="1:8" ht="15.75" customHeight="1" x14ac:dyDescent="0.25">
      <c r="B27" s="24" t="s">
        <v>39</v>
      </c>
      <c r="C27" s="79">
        <v>2.2400000000000003E-2</v>
      </c>
    </row>
    <row r="28" spans="1:8" ht="15.75" customHeight="1" x14ac:dyDescent="0.25">
      <c r="B28" s="24" t="s">
        <v>40</v>
      </c>
      <c r="C28" s="79">
        <v>0.1057</v>
      </c>
    </row>
    <row r="29" spans="1:8" ht="15.75" customHeight="1" x14ac:dyDescent="0.25">
      <c r="B29" s="24" t="s">
        <v>41</v>
      </c>
      <c r="C29" s="79">
        <v>0.1067</v>
      </c>
    </row>
    <row r="30" spans="1:8" ht="15.75" customHeight="1" x14ac:dyDescent="0.25">
      <c r="B30" s="24" t="s">
        <v>42</v>
      </c>
      <c r="C30" s="79">
        <v>5.0700000000000002E-2</v>
      </c>
    </row>
    <row r="31" spans="1:8" ht="15.75" customHeight="1" x14ac:dyDescent="0.25">
      <c r="B31" s="24" t="s">
        <v>43</v>
      </c>
      <c r="C31" s="79">
        <v>9.820000000000001E-2</v>
      </c>
    </row>
    <row r="32" spans="1:8" ht="15.75" customHeight="1" x14ac:dyDescent="0.25">
      <c r="B32" s="24" t="s">
        <v>44</v>
      </c>
      <c r="C32" s="79">
        <v>3.9100000000000003E-2</v>
      </c>
    </row>
    <row r="33" spans="2:3" ht="15.75" customHeight="1" x14ac:dyDescent="0.25">
      <c r="B33" s="24" t="s">
        <v>45</v>
      </c>
      <c r="C33" s="79">
        <v>9.1400000000000009E-2</v>
      </c>
    </row>
    <row r="34" spans="2:3" ht="15.75" customHeight="1" x14ac:dyDescent="0.25">
      <c r="B34" s="24" t="s">
        <v>46</v>
      </c>
      <c r="C34" s="79">
        <v>0.4395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0.62222527458104093</v>
      </c>
      <c r="D2" s="80">
        <v>0.62222527458104093</v>
      </c>
      <c r="E2" s="80">
        <v>0.55051454741379313</v>
      </c>
      <c r="F2" s="80">
        <v>0.34693485583888733</v>
      </c>
      <c r="G2" s="80">
        <v>0.30730697552550779</v>
      </c>
    </row>
    <row r="3" spans="1:15" ht="15.75" customHeight="1" x14ac:dyDescent="0.25">
      <c r="A3" s="5"/>
      <c r="B3" s="11" t="s">
        <v>118</v>
      </c>
      <c r="C3" s="80">
        <v>0.22635769955689028</v>
      </c>
      <c r="D3" s="80">
        <v>0.22635769955689028</v>
      </c>
      <c r="E3" s="80">
        <v>0.25746497844827593</v>
      </c>
      <c r="F3" s="80">
        <v>0.31047354933352656</v>
      </c>
      <c r="G3" s="80">
        <v>0.33825875723311288</v>
      </c>
    </row>
    <row r="4" spans="1:15" ht="15.75" customHeight="1" x14ac:dyDescent="0.25">
      <c r="A4" s="5"/>
      <c r="B4" s="11" t="s">
        <v>116</v>
      </c>
      <c r="C4" s="81">
        <v>9.5587284482758605E-2</v>
      </c>
      <c r="D4" s="81">
        <v>9.5587284482758605E-2</v>
      </c>
      <c r="E4" s="81">
        <v>0.11758081896551724</v>
      </c>
      <c r="F4" s="81">
        <v>0.19709590517241379</v>
      </c>
      <c r="G4" s="81">
        <v>0.20893857758620688</v>
      </c>
    </row>
    <row r="5" spans="1:15" ht="15.75" customHeight="1" x14ac:dyDescent="0.25">
      <c r="A5" s="5"/>
      <c r="B5" s="11" t="s">
        <v>119</v>
      </c>
      <c r="C5" s="81">
        <v>5.5829741379310335E-2</v>
      </c>
      <c r="D5" s="81">
        <v>5.5829741379310335E-2</v>
      </c>
      <c r="E5" s="81">
        <v>7.4439655172413799E-2</v>
      </c>
      <c r="F5" s="81">
        <v>0.14549568965517237</v>
      </c>
      <c r="G5" s="81">
        <v>0.14549568965517237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0.80251254262377314</v>
      </c>
      <c r="D8" s="80">
        <v>0.80251254262377314</v>
      </c>
      <c r="E8" s="80">
        <v>0.76471256995409831</v>
      </c>
      <c r="F8" s="80">
        <v>0.78461802744206</v>
      </c>
      <c r="G8" s="80">
        <v>0.82915408658531553</v>
      </c>
    </row>
    <row r="9" spans="1:15" ht="15.75" customHeight="1" x14ac:dyDescent="0.25">
      <c r="B9" s="7" t="s">
        <v>121</v>
      </c>
      <c r="C9" s="80">
        <v>0.12548745937622685</v>
      </c>
      <c r="D9" s="80">
        <v>0.12548745937622685</v>
      </c>
      <c r="E9" s="80">
        <v>0.16328743204590163</v>
      </c>
      <c r="F9" s="80">
        <v>0.14338197455793994</v>
      </c>
      <c r="G9" s="80">
        <v>9.8845915414684599E-2</v>
      </c>
    </row>
    <row r="10" spans="1:15" ht="15.75" customHeight="1" x14ac:dyDescent="0.25">
      <c r="B10" s="7" t="s">
        <v>122</v>
      </c>
      <c r="C10" s="81">
        <v>3.9999997999999995E-2</v>
      </c>
      <c r="D10" s="81">
        <v>3.9999997999999995E-2</v>
      </c>
      <c r="E10" s="81">
        <v>3.9999997999999995E-2</v>
      </c>
      <c r="F10" s="81">
        <v>3.9999997999999995E-2</v>
      </c>
      <c r="G10" s="81">
        <v>3.9999997999999995E-2</v>
      </c>
    </row>
    <row r="11" spans="1:15" ht="15.75" customHeight="1" x14ac:dyDescent="0.25">
      <c r="B11" s="7" t="s">
        <v>123</v>
      </c>
      <c r="C11" s="81">
        <v>3.2000000000000001E-2</v>
      </c>
      <c r="D11" s="81">
        <v>3.2000000000000001E-2</v>
      </c>
      <c r="E11" s="81">
        <v>3.2000000000000001E-2</v>
      </c>
      <c r="F11" s="81">
        <v>3.2000000000000001E-2</v>
      </c>
      <c r="G11" s="81">
        <v>3.2000000000000001E-2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0.62072485924999998</v>
      </c>
      <c r="D14" s="82">
        <v>0.60000760225000005</v>
      </c>
      <c r="E14" s="82">
        <v>0.60000760225000005</v>
      </c>
      <c r="F14" s="82">
        <v>0.365490115999</v>
      </c>
      <c r="G14" s="82">
        <v>0.365490115999</v>
      </c>
      <c r="H14" s="83">
        <v>0.34</v>
      </c>
      <c r="I14" s="83">
        <v>0.34</v>
      </c>
      <c r="J14" s="83">
        <v>0.34</v>
      </c>
      <c r="K14" s="83">
        <v>0.34</v>
      </c>
      <c r="L14" s="83">
        <v>0.44753935092800001</v>
      </c>
      <c r="M14" s="83">
        <v>0.311656122684</v>
      </c>
      <c r="N14" s="83">
        <v>0.29221029814249999</v>
      </c>
      <c r="O14" s="83">
        <v>0.33298222598499999</v>
      </c>
    </row>
    <row r="15" spans="1:15" ht="15.75" customHeight="1" x14ac:dyDescent="0.25">
      <c r="B15" s="16" t="s">
        <v>68</v>
      </c>
      <c r="C15" s="80">
        <f>iron_deficiency_anaemia*C14</f>
        <v>0.27968074714479757</v>
      </c>
      <c r="D15" s="80">
        <f t="shared" ref="D15:O15" si="0">iron_deficiency_anaemia*D14</f>
        <v>0.27034614771607207</v>
      </c>
      <c r="E15" s="80">
        <f t="shared" si="0"/>
        <v>0.27034614771607207</v>
      </c>
      <c r="F15" s="80">
        <f t="shared" si="0"/>
        <v>0.16467932159209564</v>
      </c>
      <c r="G15" s="80">
        <f t="shared" si="0"/>
        <v>0.16467932159209564</v>
      </c>
      <c r="H15" s="80">
        <f t="shared" si="0"/>
        <v>0.15319420933797759</v>
      </c>
      <c r="I15" s="80">
        <f t="shared" si="0"/>
        <v>0.15319420933797759</v>
      </c>
      <c r="J15" s="80">
        <f t="shared" si="0"/>
        <v>0.15319420933797759</v>
      </c>
      <c r="K15" s="80">
        <f t="shared" si="0"/>
        <v>0.15319420933797759</v>
      </c>
      <c r="L15" s="80">
        <f t="shared" si="0"/>
        <v>0.20164834415601957</v>
      </c>
      <c r="M15" s="80">
        <f t="shared" si="0"/>
        <v>0.14042327441151506</v>
      </c>
      <c r="N15" s="80">
        <f t="shared" si="0"/>
        <v>0.13166154583633821</v>
      </c>
      <c r="O15" s="80">
        <f t="shared" si="0"/>
        <v>0.15003220245109367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0.313</v>
      </c>
      <c r="D2" s="81">
        <v>0.313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0.222</v>
      </c>
      <c r="D3" s="81">
        <v>0.22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0.17300000000000001</v>
      </c>
      <c r="D4" s="81">
        <v>0.17300000000000001</v>
      </c>
      <c r="E4" s="81">
        <v>0.48599999999999999</v>
      </c>
      <c r="F4" s="81">
        <v>0.82750000000000001</v>
      </c>
      <c r="G4" s="81">
        <v>0</v>
      </c>
    </row>
    <row r="5" spans="1:7" x14ac:dyDescent="0.25">
      <c r="B5" s="43" t="s">
        <v>169</v>
      </c>
      <c r="C5" s="80">
        <f>1-SUM(C2:C4)</f>
        <v>0.29199999999999993</v>
      </c>
      <c r="D5" s="80">
        <f>1-SUM(D2:D4)</f>
        <v>0.29399999999999993</v>
      </c>
      <c r="E5" s="80">
        <f>1-SUM(E2:E4)</f>
        <v>0.51400000000000001</v>
      </c>
      <c r="F5" s="80">
        <f>1-SUM(F2:F4)</f>
        <v>0.17249999999999999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0.28129000000000004</v>
      </c>
      <c r="D2" s="144">
        <v>0.27796999999999999</v>
      </c>
      <c r="E2" s="144">
        <v>0.27471000000000001</v>
      </c>
      <c r="F2" s="144">
        <v>0.27139000000000002</v>
      </c>
      <c r="G2" s="144">
        <v>0.26808999999999999</v>
      </c>
      <c r="H2" s="144">
        <v>0.26530999999999999</v>
      </c>
      <c r="I2" s="144">
        <v>0.26257000000000003</v>
      </c>
      <c r="J2" s="144">
        <v>0.25978000000000001</v>
      </c>
      <c r="K2" s="144">
        <v>0.25702999999999998</v>
      </c>
      <c r="L2" s="144">
        <v>0.25422</v>
      </c>
      <c r="M2" s="144">
        <v>0.25136999999999998</v>
      </c>
      <c r="N2" s="144">
        <v>0.24854999999999999</v>
      </c>
      <c r="O2" s="144">
        <v>0.24582000000000001</v>
      </c>
      <c r="P2" s="144">
        <v>0.24318999999999999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5.8579999999999993E-2</v>
      </c>
      <c r="D4" s="144">
        <v>5.7689999999999998E-2</v>
      </c>
      <c r="E4" s="144">
        <v>5.6820000000000002E-2</v>
      </c>
      <c r="F4" s="144">
        <v>5.5980000000000002E-2</v>
      </c>
      <c r="G4" s="144">
        <v>5.5170000000000004E-2</v>
      </c>
      <c r="H4" s="144">
        <v>5.4320000000000007E-2</v>
      </c>
      <c r="I4" s="144">
        <v>5.3499999999999999E-2</v>
      </c>
      <c r="J4" s="144">
        <v>5.271E-2</v>
      </c>
      <c r="K4" s="144">
        <v>5.1950000000000003E-2</v>
      </c>
      <c r="L4" s="144">
        <v>5.1220000000000002E-2</v>
      </c>
      <c r="M4" s="144">
        <v>5.0519999999999995E-2</v>
      </c>
      <c r="N4" s="144">
        <v>4.9840000000000002E-2</v>
      </c>
      <c r="O4" s="144">
        <v>4.9169999999999998E-2</v>
      </c>
      <c r="P4" s="144">
        <v>4.8520000000000001E-2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0.18596826347403633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0.15319420933797759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0.14941176993627334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0.313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0.71366666666666667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22.686</v>
      </c>
      <c r="D13" s="143">
        <v>23.065999999999999</v>
      </c>
      <c r="E13" s="143">
        <v>22.620999999999999</v>
      </c>
      <c r="F13" s="143">
        <v>21.32</v>
      </c>
      <c r="G13" s="143">
        <v>20.135999999999999</v>
      </c>
      <c r="H13" s="143">
        <v>19.279</v>
      </c>
      <c r="I13" s="143">
        <v>18.407</v>
      </c>
      <c r="J13" s="143">
        <v>17.885000000000002</v>
      </c>
      <c r="K13" s="143">
        <v>17.146000000000001</v>
      </c>
      <c r="L13" s="143">
        <v>16.545000000000002</v>
      </c>
      <c r="M13" s="143">
        <v>15.930999999999999</v>
      </c>
      <c r="N13" s="143">
        <v>15.532</v>
      </c>
      <c r="O13" s="143">
        <v>15.294</v>
      </c>
      <c r="P13" s="143">
        <v>15.074</v>
      </c>
    </row>
    <row r="14" spans="1:16" x14ac:dyDescent="0.25">
      <c r="B14" s="16" t="s">
        <v>170</v>
      </c>
      <c r="C14" s="143">
        <f>maternal_mortality</f>
        <v>1.29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0.67700000000000005</v>
      </c>
      <c r="E2" s="92">
        <f>food_insecure</f>
        <v>0.67700000000000005</v>
      </c>
      <c r="F2" s="92">
        <f>food_insecure</f>
        <v>0.67700000000000005</v>
      </c>
      <c r="G2" s="92">
        <f>food_insecure</f>
        <v>0.67700000000000005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0.67700000000000005</v>
      </c>
      <c r="F5" s="92">
        <f>food_insecure</f>
        <v>0.67700000000000005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8.0397272153461249E-2</v>
      </c>
      <c r="D7" s="92">
        <f>diarrhoea_1_5mo/26</f>
        <v>7.363730568923077E-2</v>
      </c>
      <c r="E7" s="92">
        <f>diarrhoea_6_11mo/26</f>
        <v>7.363730568923077E-2</v>
      </c>
      <c r="F7" s="92">
        <f>diarrhoea_12_23mo/26</f>
        <v>5.0290747674230765E-2</v>
      </c>
      <c r="G7" s="92">
        <f>diarrhoea_24_59mo/26</f>
        <v>5.0290747674230765E-2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0.67700000000000005</v>
      </c>
      <c r="F8" s="92">
        <f>food_insecure</f>
        <v>0.67700000000000005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0.14000000000000001</v>
      </c>
      <c r="E9" s="92">
        <f>IF(ISBLANK(comm_deliv), frac_children_health_facility,1)</f>
        <v>0.14000000000000001</v>
      </c>
      <c r="F9" s="92">
        <f>IF(ISBLANK(comm_deliv), frac_children_health_facility,1)</f>
        <v>0.14000000000000001</v>
      </c>
      <c r="G9" s="92">
        <f>IF(ISBLANK(comm_deliv), frac_children_health_facility,1)</f>
        <v>0.14000000000000001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8.0397272153461249E-2</v>
      </c>
      <c r="D11" s="92">
        <f>diarrhoea_1_5mo/26</f>
        <v>7.363730568923077E-2</v>
      </c>
      <c r="E11" s="92">
        <f>diarrhoea_6_11mo/26</f>
        <v>7.363730568923077E-2</v>
      </c>
      <c r="F11" s="92">
        <f>diarrhoea_12_23mo/26</f>
        <v>5.0290747674230765E-2</v>
      </c>
      <c r="G11" s="92">
        <f>diarrhoea_24_59mo/26</f>
        <v>5.0290747674230765E-2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0.67700000000000005</v>
      </c>
      <c r="I14" s="92">
        <f>food_insecure</f>
        <v>0.67700000000000005</v>
      </c>
      <c r="J14" s="92">
        <f>food_insecure</f>
        <v>0.67700000000000005</v>
      </c>
      <c r="K14" s="92">
        <f>food_insecure</f>
        <v>0.67700000000000005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0.73299999999999998</v>
      </c>
      <c r="I17" s="92">
        <f>frac_PW_health_facility</f>
        <v>0.73299999999999998</v>
      </c>
      <c r="J17" s="92">
        <f>frac_PW_health_facility</f>
        <v>0.73299999999999998</v>
      </c>
      <c r="K17" s="92">
        <f>frac_PW_health_facility</f>
        <v>0.73299999999999998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0.13</v>
      </c>
      <c r="I18" s="92">
        <f>frac_malaria_risk</f>
        <v>0.13</v>
      </c>
      <c r="J18" s="92">
        <f>frac_malaria_risk</f>
        <v>0.13</v>
      </c>
      <c r="K18" s="92">
        <f>frac_malaria_risk</f>
        <v>0.13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0.52200000000000002</v>
      </c>
      <c r="M23" s="92">
        <f>famplan_unmet_need</f>
        <v>0.52200000000000002</v>
      </c>
      <c r="N23" s="92">
        <f>famplan_unmet_need</f>
        <v>0.52200000000000002</v>
      </c>
      <c r="O23" s="92">
        <f>famplan_unmet_need</f>
        <v>0.52200000000000002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0.42606158512856396</v>
      </c>
      <c r="M24" s="92">
        <f>(1-food_insecure)*(0.49)+food_insecure*(0.7)</f>
        <v>0.6321699999999999</v>
      </c>
      <c r="N24" s="92">
        <f>(1-food_insecure)*(0.49)+food_insecure*(0.7)</f>
        <v>0.6321699999999999</v>
      </c>
      <c r="O24" s="92">
        <f>(1-food_insecure)*(0.49)+food_insecure*(0.7)</f>
        <v>0.6321699999999999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0.18259782219795598</v>
      </c>
      <c r="M25" s="92">
        <f>(1-food_insecure)*(0.21)+food_insecure*(0.3)</f>
        <v>0.27093</v>
      </c>
      <c r="N25" s="92">
        <f>(1-food_insecure)*(0.21)+food_insecure*(0.3)</f>
        <v>0.27093</v>
      </c>
      <c r="O25" s="92">
        <f>(1-food_insecure)*(0.21)+food_insecure*(0.3)</f>
        <v>0.27093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6.5307381873479994E-2</v>
      </c>
      <c r="M26" s="92">
        <f>(1-food_insecure)*(0.3)</f>
        <v>9.6899999999999986E-2</v>
      </c>
      <c r="N26" s="92">
        <f>(1-food_insecure)*(0.3)</f>
        <v>9.6899999999999986E-2</v>
      </c>
      <c r="O26" s="92">
        <f>(1-food_insecure)*(0.3)</f>
        <v>9.6899999999999986E-2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0.13</v>
      </c>
      <c r="D33" s="92">
        <f t="shared" si="3"/>
        <v>0.13</v>
      </c>
      <c r="E33" s="92">
        <f t="shared" si="3"/>
        <v>0.13</v>
      </c>
      <c r="F33" s="92">
        <f t="shared" si="3"/>
        <v>0.13</v>
      </c>
      <c r="G33" s="92">
        <f t="shared" si="3"/>
        <v>0.13</v>
      </c>
      <c r="H33" s="92">
        <f t="shared" si="3"/>
        <v>0.13</v>
      </c>
      <c r="I33" s="92">
        <f t="shared" si="3"/>
        <v>0.13</v>
      </c>
      <c r="J33" s="92">
        <f t="shared" si="3"/>
        <v>0.13</v>
      </c>
      <c r="K33" s="92">
        <f t="shared" si="3"/>
        <v>0.13</v>
      </c>
      <c r="L33" s="92">
        <f t="shared" si="3"/>
        <v>0.13</v>
      </c>
      <c r="M33" s="92">
        <f t="shared" si="3"/>
        <v>0.13</v>
      </c>
      <c r="N33" s="92">
        <f t="shared" si="3"/>
        <v>0.13</v>
      </c>
      <c r="O33" s="92">
        <f t="shared" si="3"/>
        <v>0.13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2020-03-24T06:48:36Z</dcterms:modified>
</cp:coreProperties>
</file>