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BE23F2F3-29FC-4435-BF1F-B787AAEDF9D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I13" i="2" s="1"/>
  <c r="H14" i="2"/>
  <c r="I14" i="2" s="1"/>
  <c r="H15" i="2"/>
  <c r="C20" i="1"/>
  <c r="G3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22" i="2"/>
  <c r="I18" i="2"/>
  <c r="I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I15" i="2"/>
  <c r="I11" i="2"/>
  <c r="I10" i="2"/>
  <c r="I9" i="2"/>
  <c r="I8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F92D35E-B054-407E-A90E-46DFF66C7C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17C156C-4D36-4485-8384-4AD013E70973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F83D017C-1201-4581-90B4-DA2393B6C29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28FFF08C-A985-48D4-94F9-09C500BC0B0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A60B1176-2EE1-4D97-A44C-1D4A59339EC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4A8F2B96-B2DD-44CB-83AE-F7FE05D4B91C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4802E779-58A7-4316-921A-4283626DD85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E1E8D332-AE69-4DD3-8B39-6DB815DEB7B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20062B1-017D-4647-B736-ADDA2726581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D5155D4D-037E-4730-9110-3FF02AA8F1C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FDCA6D5-B08C-4BBA-A617-5E18B424DB2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4B60BF99-C9E9-4DAD-9195-1877ED23E5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CB2CC40-336D-4683-8F7C-946F68C43F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5F657F27-B5C4-409B-8F8D-1041AEFE7B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DC3BED16-5A7C-449B-AAC2-1902E67818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00EB7A4-7683-446B-B3A6-9204814BD9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FB3B026-DC43-4FB5-9061-09DC039708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EA33A02B-3D1A-4823-9FA4-3BDC7ABA7B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D69AC08-9024-4306-83A5-271E338F10A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7D047791-A3AE-485D-876F-A80D71C820B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CD326EAD-EF1D-475C-B7C1-A7228649624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371F190D-D2A6-4AA2-AA00-99CB8F50512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A8851B3C-69CB-4E69-A122-CB62C78C79E8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20F6FB12-639A-4BFF-82E2-7A696C16363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0CA05A90-F33E-422D-A57B-97DB0DC6D289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840C8997-A797-418B-BFBF-4F62DDF14DC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B67DBB9-3655-4365-AAF0-71BA9CFB3BB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0B9F9619-C2FA-417F-AAF7-824D0D7BBBA6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B54727A6-FEA4-4205-A63A-FDC991349A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223353DA-AF11-4337-A791-72C3DE482D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FA6FBB1-7DE8-4336-B14C-79528D3F67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53FC90C-877F-467B-9A06-5329D85C3C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65922688-3620-4CE3-B07A-94DF18743F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6CF491E-DDB3-43B3-9A46-3ACF873D24C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B9C47D0F-5F75-460B-AE9A-DA56689D6CD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ECED87C-7753-4F47-B9A7-2D05EBE595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F8014CD-4B8F-483D-A078-5BFC25529F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2FA89FC3-0455-45A2-9660-2165045904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C7112E2B-3DE8-4B91-BF9E-3FEFFA8AFE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79861517-9386-411A-8162-9387BC2684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4FCBB3B-DB14-480A-B4A4-D7E33513AC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52C6C0F7-E8DB-4779-B15B-D2B4BFE8AF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07FFFBF-03EB-49E0-9D2F-3570980623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EF442E75-B8ED-42E2-B908-D244EE2277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FBA43CA6-CB34-4715-9C40-FCF3AB90CC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B32BB854-93E6-4A2A-AD36-5C741969E1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8ED7890-B1A7-418C-9C0E-930F654038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4BF5329F-128B-4E43-B944-19D0A9CE3E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3EB61A0-A0BE-4525-8AA8-9E639EB53D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0EA67005-36A9-4C76-BF60-CB7C8CF9DE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ABD06609-A3D5-4039-9F52-6B19B780E5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A5859F44-578E-4591-AF26-F0B5D2D2B1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AB3BC12-AD41-4118-AB71-99222C68B2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E24769B-CD0C-45BB-B0E2-85F103FDCE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D425206-BEAD-402A-808F-A16111F50A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FAC06469-5B5B-4AD7-A5EF-942761DD4B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D90BF0B-01D3-4249-8175-98820CBBF1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30466E41-CADC-4F55-AA06-F10D4921E0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CC5D2198-BC5D-48AD-A3CE-B18BDC89D9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C92B8BCB-80D9-446A-9636-374B7510A2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30336133-9B1C-4677-994E-650FF18F8A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1D5CC9DB-796D-41C6-9AD2-E228DFCCC3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FE39B9AA-C2B9-4769-847A-6A908F929D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D25BD744-1594-4814-B524-A64882933B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5E30A69-6DAE-417B-8E21-0E49771226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28B3E6D0-A08B-4186-B027-9606A64995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836780C-2EB4-4716-B911-FCA61D57E6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85A3F360-CA14-4914-AAC7-81551C3CEA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EA8A55BD-1AA1-4248-A8E9-F142DC6B53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B49A2D1-70AD-40A2-8834-DDB5CA9109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056208F-02B7-4A9C-9AE1-D3A83BA044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1D08F58F-321E-409B-9FAB-073522920F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696C9C50-BDF8-4302-9AB4-9AFD3BB0D5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644F3715-C334-41A5-B7C6-5A906CC53D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BB8FF959-AC3E-4270-AFD3-3C14DB16AD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4B65AB2-85A0-4353-886B-45C01C17F7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5E99DD3-507E-4D4C-9FFE-0A905EB245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F6EE1304-AAEE-4F63-956D-49CA4745D1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978F5E25-1073-445E-A1EF-59F801616D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28D00E72-962D-485D-A844-AB78D37BE0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8D90B000-0A21-464D-B5C4-C909DD3AF1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26BE766-E714-44B3-842E-37085DFA4C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37F07E2C-154B-4058-9A91-6EEC9FAE3E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C2C910C8-B529-41B8-9EC0-4BFA778284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190C9229-09CF-469B-AB8D-278963665E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41B7F610-F9D3-4C86-9C4E-022AAD2239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15B61228-A7DB-4359-8993-7857CDB939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79F7C12-788C-4EEC-85DD-A5170E0989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34E5B9B-73F8-4E06-83F1-7E1866E321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51B408F-9836-443B-9A70-03C9329F71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0B2370AB-3321-4DC7-9CC6-2F9343F298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64059922-E450-46E2-8AF2-84C16E536C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5503AC79-7CBD-4D6A-9CD4-FF538A4B38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E23F7378-D07B-404C-BA03-329B79E8A2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EFBE05A0-4515-435D-AAA9-09D2A805F1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76E16799-8E15-463F-B93D-0CFB696992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A78051F1-649A-4DED-A55C-F7E79A24AF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201BE956-1F60-409C-8604-19DB75EB8F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0AB1B60C-60ED-4153-882C-7F12934822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C1333C44-E56F-4506-811F-3E1B65D50F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C02921A-F8E4-4195-ADB6-37BA5D7D71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6CDEC4C6-8168-4481-83A7-79AAB66E24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05DC549D-822A-4EC0-A4FD-B06205C0D6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42D94F77-81C1-4142-931C-F71706221F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E97319EE-663F-495A-B2A8-F5DA5EBCD6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976B9376-1F5D-40F8-B051-99B3FA6F8E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481EFBA-F81A-4F28-ABEF-59FD5EFBFF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7EEF8EB3-B6ED-49C0-AA06-59F0900330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1D2797F7-A9BC-40A7-BFA6-5D93021764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8498FA92-56A2-4CA0-963F-9355DB9215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2183211B-34D6-4E27-ADFC-B6EE24E3AD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B1F0839-798B-4EA7-9E52-D581F29D21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13585F76-1669-4D2B-BA19-2D9B0F621A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758E8B9C-C3E0-4EB5-B6D6-CBE44487050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BEFCD513-9C63-4F1E-9435-E870BE93BE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F9B5DB7-4456-4526-80F0-30BAEE4E429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ECFBC57-3A5E-4D1F-B56D-561C5D68C9D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6FFF8BCF-5C07-402A-A948-CA500D352F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B2F5E28-0454-4275-BEF8-2A49931EDF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41E97158-0BAB-437F-B2FA-202C18C288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AD64274-68FE-4E47-AD0F-63AB636D37B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8707BC48-26EA-4CE3-BA8C-E4CC5C0C5CB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459CCB2-01BC-4054-A3DB-F7C79732F1A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431E8A3-8DDF-4B29-9FB5-38CCF7A6B7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B37EFD6-2FF0-44F0-8584-1D18CB9A90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8740A1C-A7F3-4097-9373-218911781F6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ABC5F874-6E7F-48C9-B695-9727F0AF6A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E5A0488-9FEA-4E02-AA3E-8A36248897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EAE22B9E-9EA2-4510-93A4-3E8AF98426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255E01A5-AD19-45BA-BC6F-DFBD571DF3B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3AC614C-5080-4D52-A239-DF6BCBD118D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F133C4ED-55B6-4CAC-986D-DD0580F2707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3D0590EA-1EAC-4B5F-97AA-F823AC7050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F5CBFBE7-187E-4A97-9912-EC5D046B655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D1FF2EC9-DE08-4A41-ADEC-FB703ADA8AF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75179D3-6934-46A9-9879-DF96F3EB3BC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11C1C355-DC34-423C-82EE-2EA7A097BC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EE9A226-05E2-4EE3-A576-B404645F15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E8BB553-B937-4CD4-9896-9C79E0E87B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35E51B9F-1339-4D67-9474-FBF6E4511F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12F39036-08A8-4DEB-A906-CABEBF8929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4286D6B-219C-4B4C-8E10-9A1593748A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B5723528-D675-49A9-AB91-E464DD0AD8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8F4305F-E953-456C-9869-EBD4E51FDC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E8E9B797-2EA5-42CA-A6F3-F16598354FC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0EBEC237-A757-4FC1-A0CF-D758FF399E5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62C6A3B6-683A-4A8B-B054-C648C919CF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021AEE4-ED38-4F40-888F-B117F7018B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CDEBC63B-1B84-4ED5-9B8D-32FDBC47209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76EE82F9-792D-4F83-9928-4B284B80B8B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D140E761-9FFB-411B-87B0-4B76EA9C2E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AB647ED7-D247-4724-8B17-30BC0A4D6C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51A934B3-703F-4B0C-8EDC-01E67AFCE2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85DAD42-13B8-48D3-93A7-9DD4D023DD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9913101-A3A4-44BC-9FA3-94AFCDC67AC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647F143-05E6-4397-9305-9CEFF25D2C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ED109D57-0670-4B41-86F5-A4E21A955E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7082EF1-ED1C-415F-B539-DF17040BC24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4C37069-CE7F-473B-844D-3F838913AB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4227ECA-4A8A-4182-A45E-56E15E047D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C4FBDF1-50BE-440B-8F79-A5CC71CAA7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D2060A45-6976-4E24-9EAF-863F81E598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6DD3FA7F-3C6F-4E7C-968C-F3D205DFBD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E918E1C-53E6-4472-94A3-CC3A9E84DE6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45770B12-6072-441D-981A-9FE3E57273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865331D2-14CC-45A0-BF20-CB2C37732D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9506CB3F-FDD1-4798-815E-8D9015D740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A050E7B3-6BA2-4B0A-9028-5D45353C44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124E468-96B0-4C2F-852A-D0525DFFAB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4AF12AD-60BD-4142-9202-CB5FE4589D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8DF8031E-3349-42AF-BD8D-1F5447B1C2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B2BAA703-7D1B-4D55-A132-440FFA4171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42856FB-E5EA-4D4F-A583-E40E680348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8C422559-8CD5-4E68-A6C4-D43BAEFDEA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C8915197-E079-4F43-B705-14C9CE2372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6D6DEAF-951F-4023-80DF-88EB810756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1672B8F-614B-48B5-BF54-5E7B9F4FED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4D8DD50-FA5E-428B-A4E2-7996D6FE1A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9746BEB9-FE17-4F0F-A35B-4DA1929115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21850D4D-3742-4254-B552-581E5231E4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ABC77FE4-6127-4B53-9F71-3EC2C8DFEE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91554DF6-32A9-4760-A648-0E99DB3010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73E13BCF-80B2-4C88-ADED-8B4E550CF03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89DF5737-E016-4391-8B3B-AAF6E21532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DA4FF420-8046-4AFA-A8C0-53BF3BA723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60B148AF-E0C7-4BED-8539-49618FCB20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316A16B4-DE78-4110-B0AE-F8CA771EB1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66788164-F159-4390-9448-8CCC241746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05800136-F4F6-4BB5-BC8B-5F25A1A45B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C8D734D9-791F-4B88-94A1-014F335A2F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FAC5DFE4-68AE-465D-B9D1-575F835D73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B1ED3857-0F51-4520-88AE-25EEE29AB5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BAB28642-B2AB-49F5-8433-CE4DCD349C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340964F6-29A8-44A3-B753-33C77D6B85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9816778A-7A8E-4632-A3C5-907DC6C7FA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B377CD4-FDC7-458A-BFE4-4484868DFA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E0D07067-ED96-43D2-9411-D054BFD780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E2A89E3F-CDCD-49A6-862E-B4DB1081E5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55F77246-708F-4F09-BCB4-4B3EDA3446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6E5F976-77AF-4637-9B5A-0B8654176BC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6B1DF2A-519C-4553-AC18-06245255F6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DB311C78-9DB2-46B3-A97E-8FF5306DF8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B560F54-89DA-498D-ACF2-5E9ABFF7D3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971EADF0-C12B-422F-B461-0FAF8970BBC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0C7D2D0-1D77-470C-8605-D48A9AE14BE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C91E5E06-CD7A-4698-9C83-B827FEF4FD3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8F3D76E7-C4A0-41E3-857C-714D46202A3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6710193-B93C-44FE-BB4E-453E9DAFDB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E6229C63-CC1C-4C5D-A89D-BA8CD9E9C6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62D14BB9-8A8A-47F5-876B-6275D9CD2C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70AB82BF-37B3-4BB2-BD0D-CFE9C5F92F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45E9F773-5524-474F-A909-A005F577159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35A5E41-89A7-493A-A2EF-5C935B90CF2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A69DA02B-A5BB-4C20-AB6E-AF63A5ADEBB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10583F3F-97BC-463E-805A-0FD92ED775B6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F1844140-5D33-496F-B590-099D4C3CA48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DA4B2C9C-E983-4C74-AF9C-518D1CBAAC5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355FA3B0-BC33-4873-85F8-F5CCCB1BD24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A81D2454-1318-4950-B59E-D90663BBEFB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D38F218-A8EA-4571-B911-A56F5F679C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EBCA2A4C-9F72-4C95-A9E9-509A3E1109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F3D1190F-5AFF-424F-983A-AA0546FEA6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5D647269-494C-4688-9C0A-65D501217E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7876E456-D09B-4DED-ABE4-EACDECD6FF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AB1422AB-A389-4800-A7CA-83F0E3CBF9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31C421FB-8866-451A-AC35-E6EDB89493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8C2EFAB2-D023-4CA4-A5B1-044DF533AE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D39F4FBE-C561-4D1A-8B8A-D3826FA5F3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4387C84-92AB-48E2-BE4E-B15285AD96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5F97C2E-5577-4F21-A2CA-45F0EF6ABA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593BD5AC-3FCE-4490-9D53-B7C1CED680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FB083F96-D975-4AB1-AB18-6FA52FE5BE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1EBB9E2-CD97-4222-8C80-FED192FE62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F057086-90CC-45C8-B0EB-1B75D45DCC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F5F2F63-E38B-4A33-AF23-2AFCC63B25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263CCAF-2157-46A5-B348-85E8C71785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7760E2F-EFBC-4F98-848B-767CA482B4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5AF9927-7EC0-4812-B1B9-79BFD2D664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3B4B05B-CBFE-42A4-BFAB-B4166D193A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56ED6F93-F0E4-4394-BF9E-3F7DBE65F9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795BCF8D-1E81-46DC-BAEE-F307E0B51B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F2DE17FD-724E-4986-A0A1-17FF60E7B0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ED05333F-5B2B-47A9-AAB0-5FFD7F1AD6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CDF5212-631D-4DEF-8B11-4F11967197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47ADDD8-A6DC-4E38-8680-654E94C046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D7060A1-2A5C-4299-B950-8C8A487861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21C6C8ED-99CE-430A-86DF-922177D8AA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914DDD8A-9462-4330-8352-BF6D409738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3AD837C-522A-404F-9A33-BAF3352909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009E3353-D476-4C03-A6F7-53815E9546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1E6322A-2A03-4B54-B8B2-E0EB2C6592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9BB37E7-6DA1-4071-912A-EB10A55527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1FCB8A31-6ADB-44C0-9169-F8AACDECBA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DDB08F99-1659-49FD-9C96-A6570634AF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1A12A19-7FF0-47B4-A352-F0329948D7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E155119-45EA-4FE7-A1C2-9DB4333563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B84C1ED1-328A-477F-BD43-AC4FCC27A3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6F49CBF1-A691-4936-B853-59C6F9DBF8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9F987703-EEF5-4B41-83DA-C06A058521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7B6B58D-0720-4DF8-8F6C-73595831BA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A1FC6E56-6015-4D33-8ECB-ABD1C9B30E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A38E7C4-8C06-4B90-AF74-5F369CA8DED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8DF54C9-5F28-4351-8AFB-94486D113FE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DBEF1951-287E-4ECA-8C15-D3A07B9C16B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BEF5D30-BE5E-4485-B1D3-41179AB9E53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DCADFB1B-2004-4528-9F05-78E77C1B250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7ADE48D3-E35D-4435-9E6C-FAD9E4CA771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EB13CFE3-B697-47B1-A26C-19EA4B0D47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6EB96253-8C6C-4D68-B126-5BEBFF5117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B8508C92-4EF6-4FDD-9FA2-38DC8F6F1EB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7FF5F4F-0391-4D9B-B816-75BD5EDBEE5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A2E24A3-A4BD-4B69-BCAE-58B64460C40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D81B9C04-73B9-410E-9140-1DBDF52002C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F1B9B4DD-339E-485E-BB71-FA268A9C024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3F9BD91-0134-4925-8972-719AFBC4C63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F014879-A2DB-4F86-BAC5-55A5CCCD859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E69C01F-0494-449E-854D-C5D24C26CAA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A7D232BB-A75D-4EEA-B461-B8EC5A1A22B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87DE12C-D21A-4D7A-97AD-4F745A00C96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6E32BF17-FAA1-4AF5-AAF6-936508FD813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01998AE4-8651-42E2-B834-4A6E4886E29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9CC5E08A-25DE-4CBF-9D0B-0895EF32F57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E89C41F-680E-4282-A8C6-2BB91DC1FD8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8E903A0-2978-44A5-8BC9-F298A61CE4A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A89E336-E20A-43E2-A97A-92FC84F8EAE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9ACC14A-3FDC-473E-9667-95FAEEC81B2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53FE6664-CC9C-4E44-9EC3-21398854084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9985E46C-6F73-42C9-8C35-C00E7FBC433B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00029853-F434-4CD3-A0BD-8697F983D3CD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6A38DBFA-40E4-4B3D-8848-117CB36156B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05C31F07-C302-48ED-AE36-39D39D893EB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EDFD679-8438-4A00-9294-57066F6CB0B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D5DF390-8C57-4C5A-A2B3-CF1E0332075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4F7ACD4-D5AF-41FF-8B57-82B71067814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7FD82D76-5A0A-4685-8293-A7F5C0D2E63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F655E0DB-8724-4EF3-B477-5B34377913D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4BC7646F-4F30-49C3-9963-BFDCD64B954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4A456DA-D769-4065-863C-E2C4EE35BACD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51D1364-FC35-4A4E-ADC3-97C61A15C69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846C885D-17AD-4C0B-BAB0-64BD99F6493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DAAC5971-5B2B-4343-92C9-53A9232544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4B382498-CAE7-4D59-95D7-6E113E294AC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9C2B29DB-399D-4717-9F3F-281FD1241E9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51F7B763-9267-4A6B-9B7E-550A5AFA677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BB86B203-8DD2-4F5B-A2AA-DF7D6323DAE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8FAC5FC5-0E81-4710-B7A6-5C187BD39E2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92782630-9934-471B-9E19-937A2EFB4DB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ACB808D5-5D16-45AD-9837-0C86B4C69A3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44FD369-529B-4412-854A-1604761465D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AB7EB238-20B9-4804-A1AA-664F7303CA6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D8899671-D049-4775-A73E-A64C9358D0E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2CF52999-E6E3-4234-8D8A-39DECCD60CF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BDDE8730-53D2-4F61-B30F-4A2BA45D032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2BF98362-189F-4074-863C-3D5347B4B9D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132C64A6-9CA8-4C9C-A057-665D78BABAA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54864A98-EE03-444A-8E5C-9A0297EB475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B6BA31D2-6BA4-41CB-92CC-CD4F67D9609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D4FC305D-1791-4709-A579-869A9976973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33A0D09C-1EDF-4174-9C8A-70E5E3FE1A6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A0FF11E-163C-420B-BD96-A37B47A6DE5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4CA8E93E-6A85-4F54-86F5-9C451BF2D95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50A6E0D-562F-4E31-8EF1-64A53086DC78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A85FD2F0-2271-49FC-AC7B-176864B5693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<sst xmlns="http://schemas.openxmlformats.org/spreadsheetml/2006/main" count="1102" uniqueCount="271">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</sst>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14828045</v>
      </c>
    </row>
    <row r="8" spans="1:3" ht="15" customHeight="1" x14ac:dyDescent="0.25">
      <c r="B8" s="7" t="s">
        <v>106</v>
      </c>
      <c r="C8" s="70">
        <v>8.8000000000000009E-2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0.84275520324706998</v>
      </c>
    </row>
    <row r="11" spans="1:3" ht="15" customHeight="1" x14ac:dyDescent="0.25">
      <c r="B11" s="7" t="s">
        <v>108</v>
      </c>
      <c r="C11" s="70">
        <v>0.90900000000000003</v>
      </c>
    </row>
    <row r="12" spans="1:3" ht="15" customHeight="1" x14ac:dyDescent="0.25">
      <c r="B12" s="7" t="s">
        <v>109</v>
      </c>
      <c r="C12" s="70">
        <v>0.49700000000000005</v>
      </c>
    </row>
    <row r="13" spans="1:3" ht="15" customHeight="1" x14ac:dyDescent="0.25">
      <c r="B13" s="7" t="s">
        <v>110</v>
      </c>
      <c r="C13" s="70">
        <v>0.107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0.18280000000000002</v>
      </c>
    </row>
    <row r="24" spans="1:3" ht="15" customHeight="1" x14ac:dyDescent="0.25">
      <c r="B24" s="20" t="s">
        <v>102</v>
      </c>
      <c r="C24" s="71">
        <v>0.54590000000000005</v>
      </c>
    </row>
    <row r="25" spans="1:3" ht="15" customHeight="1" x14ac:dyDescent="0.25">
      <c r="B25" s="20" t="s">
        <v>103</v>
      </c>
      <c r="C25" s="71">
        <v>0.23910000000000001</v>
      </c>
    </row>
    <row r="26" spans="1:3" ht="15" customHeight="1" x14ac:dyDescent="0.25">
      <c r="B26" s="20" t="s">
        <v>104</v>
      </c>
      <c r="C26" s="71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</v>
      </c>
    </row>
    <row r="30" spans="1:3" ht="14.25" customHeight="1" x14ac:dyDescent="0.25">
      <c r="B30" s="30" t="s">
        <v>76</v>
      </c>
      <c r="C30" s="73">
        <v>0.105</v>
      </c>
    </row>
    <row r="31" spans="1:3" ht="14.25" customHeight="1" x14ac:dyDescent="0.25">
      <c r="B31" s="30" t="s">
        <v>77</v>
      </c>
      <c r="C31" s="73">
        <v>9.9000000000000005E-2</v>
      </c>
    </row>
    <row r="32" spans="1:3" ht="14.25" customHeight="1" x14ac:dyDescent="0.25">
      <c r="B32" s="30" t="s">
        <v>78</v>
      </c>
      <c r="C32" s="73">
        <v>0.44600000000000001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8.5</v>
      </c>
    </row>
    <row r="38" spans="1:5" ht="15" customHeight="1" x14ac:dyDescent="0.25">
      <c r="B38" s="16" t="s">
        <v>91</v>
      </c>
      <c r="C38" s="75">
        <v>13.2</v>
      </c>
      <c r="D38" s="17"/>
      <c r="E38" s="18"/>
    </row>
    <row r="39" spans="1:5" ht="15" customHeight="1" x14ac:dyDescent="0.25">
      <c r="B39" s="16" t="s">
        <v>90</v>
      </c>
      <c r="C39" s="75">
        <v>14.8</v>
      </c>
      <c r="D39" s="17"/>
      <c r="E39" s="17"/>
    </row>
    <row r="40" spans="1:5" ht="15" customHeight="1" x14ac:dyDescent="0.25">
      <c r="B40" s="16" t="s">
        <v>171</v>
      </c>
      <c r="C40" s="75">
        <v>0.44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1.9299999999999998E-2</v>
      </c>
      <c r="D45" s="17"/>
    </row>
    <row r="46" spans="1:5" ht="15.75" customHeight="1" x14ac:dyDescent="0.25">
      <c r="B46" s="16" t="s">
        <v>11</v>
      </c>
      <c r="C46" s="71">
        <v>7.3099999999999998E-2</v>
      </c>
      <c r="D46" s="17"/>
    </row>
    <row r="47" spans="1:5" ht="15.75" customHeight="1" x14ac:dyDescent="0.25">
      <c r="B47" s="16" t="s">
        <v>12</v>
      </c>
      <c r="C47" s="71">
        <v>0.1148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1.2795040448974926</v>
      </c>
      <c r="D51" s="17"/>
    </row>
    <row r="52" spans="1:4" ht="15" customHeight="1" x14ac:dyDescent="0.25">
      <c r="B52" s="16" t="s">
        <v>125</v>
      </c>
      <c r="C52" s="76">
        <v>1.57861631651</v>
      </c>
    </row>
    <row r="53" spans="1:4" ht="15.75" customHeight="1" x14ac:dyDescent="0.25">
      <c r="B53" s="16" t="s">
        <v>126</v>
      </c>
      <c r="C53" s="76">
        <v>1.57861631651</v>
      </c>
    </row>
    <row r="54" spans="1:4" ht="15.75" customHeight="1" x14ac:dyDescent="0.25">
      <c r="B54" s="16" t="s">
        <v>127</v>
      </c>
      <c r="C54" s="76">
        <v>1.18606072264</v>
      </c>
    </row>
    <row r="55" spans="1:4" ht="15.75" customHeight="1" x14ac:dyDescent="0.25">
      <c r="B55" s="16" t="s">
        <v>128</v>
      </c>
      <c r="C55" s="76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0.54093358507687406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86.770455007029625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40.524326066971597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864.9948491750622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7.0055425565758203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2.1237917814534857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2.1237917814534857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2.1237917814534857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2.1237917814534857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13.656625510767503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13.656625510767503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1.363391310662851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0.56700000000000006</v>
      </c>
      <c r="C18" s="85">
        <v>0.95</v>
      </c>
      <c r="D18" s="87">
        <v>19.805611394811169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19.805611394811169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19.805611394811169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76.727649414499837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23.904870229687635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4.6821164540834266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19.218001831842617</v>
      </c>
      <c r="E24" s="86" t="s">
        <v>202</v>
      </c>
    </row>
    <row r="25" spans="1:5" ht="15.75" customHeight="1" x14ac:dyDescent="0.25">
      <c r="A25" s="52" t="s">
        <v>87</v>
      </c>
      <c r="B25" s="85">
        <v>1.6E-2</v>
      </c>
      <c r="C25" s="85">
        <v>0.95</v>
      </c>
      <c r="D25" s="86">
        <v>19.21625545106296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6.6689868540095452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11.684994403575459</v>
      </c>
      <c r="E27" s="86" t="s">
        <v>202</v>
      </c>
    </row>
    <row r="28" spans="1:5" ht="15.75" customHeight="1" x14ac:dyDescent="0.25">
      <c r="A28" s="52" t="s">
        <v>84</v>
      </c>
      <c r="B28" s="85">
        <v>0.436</v>
      </c>
      <c r="C28" s="85">
        <v>0.95</v>
      </c>
      <c r="D28" s="86">
        <v>1.6120748776406568</v>
      </c>
      <c r="E28" s="86" t="s">
        <v>202</v>
      </c>
    </row>
    <row r="29" spans="1:5" ht="15.75" customHeight="1" x14ac:dyDescent="0.25">
      <c r="A29" s="52" t="s">
        <v>58</v>
      </c>
      <c r="B29" s="85">
        <v>0.56700000000000006</v>
      </c>
      <c r="C29" s="85">
        <v>0.95</v>
      </c>
      <c r="D29" s="86">
        <v>179.24514608865215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0.41843582081384945</v>
      </c>
      <c r="E30" s="86" t="s">
        <v>202</v>
      </c>
    </row>
    <row r="31" spans="1:5" ht="15.75" customHeight="1" x14ac:dyDescent="0.25">
      <c r="A31" s="52" t="s">
        <v>28</v>
      </c>
      <c r="B31" s="85">
        <v>0.24549999999999997</v>
      </c>
      <c r="C31" s="85">
        <v>0.95</v>
      </c>
      <c r="D31" s="86">
        <v>2.9936883930025688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0.82799999999999996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0.98099999999999998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0.93700000000000006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3.027552545673728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3.0148105991170082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0.11522699084</v>
      </c>
      <c r="C3" s="26">
        <f>frac_mam_1_5months * 2.6</f>
        <v>0.11522699084</v>
      </c>
      <c r="D3" s="26">
        <f>frac_mam_6_11months * 2.6</f>
        <v>4.6041787999999972E-3</v>
      </c>
      <c r="E3" s="26">
        <f>frac_mam_12_23months * 2.6</f>
        <v>6.2520352700000004E-2</v>
      </c>
      <c r="F3" s="26">
        <f>frac_mam_24_59months * 2.6</f>
        <v>2.1435552224666664E-2</v>
      </c>
    </row>
    <row r="4" spans="1:6" ht="15.75" customHeight="1" x14ac:dyDescent="0.25">
      <c r="A4" s="3" t="s">
        <v>66</v>
      </c>
      <c r="B4" s="26">
        <f>frac_sam_1month * 2.6</f>
        <v>2.2148291360000003E-2</v>
      </c>
      <c r="C4" s="26">
        <f>frac_sam_1_5months * 2.6</f>
        <v>2.2148291360000003E-2</v>
      </c>
      <c r="D4" s="26">
        <f>frac_sam_6_11months * 2.6</f>
        <v>4.2138972199999999E-2</v>
      </c>
      <c r="E4" s="26">
        <f>frac_sam_12_23months * 2.6</f>
        <v>7.0785246999999999E-3</v>
      </c>
      <c r="F4" s="26">
        <f>frac_sam_24_59months * 2.6</f>
        <v>2.8346846753333332E-3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2912874.2532040002</v>
      </c>
      <c r="C2" s="78">
        <v>8394257</v>
      </c>
      <c r="D2" s="78">
        <v>17095267</v>
      </c>
      <c r="E2" s="78">
        <v>17310449</v>
      </c>
      <c r="F2" s="78">
        <v>14446067</v>
      </c>
      <c r="G2" s="22">
        <f t="shared" ref="G2:G40" si="0">C2+D2+E2+F2</f>
        <v>57246040</v>
      </c>
      <c r="H2" s="22">
        <f t="shared" ref="H2:H40" si="1">(B2 + stillbirth*B2/(1000-stillbirth))/(1-abortion)</f>
        <v>3377175.0307866042</v>
      </c>
      <c r="I2" s="22">
        <f>G2-H2</f>
        <v>53868864.969213396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2884603.9506666665</v>
      </c>
      <c r="C3" s="78">
        <v>8275000</v>
      </c>
      <c r="D3" s="78">
        <v>17080000</v>
      </c>
      <c r="E3" s="78">
        <v>17411000</v>
      </c>
      <c r="F3" s="78">
        <v>14680000</v>
      </c>
      <c r="G3" s="22">
        <f t="shared" si="0"/>
        <v>57446000</v>
      </c>
      <c r="H3" s="22">
        <f t="shared" si="1"/>
        <v>3344398.5524553303</v>
      </c>
      <c r="I3" s="22">
        <f t="shared" ref="I3:I15" si="3">G3-H3</f>
        <v>54101601.447544672</v>
      </c>
    </row>
    <row r="4" spans="1:9" ht="15.75" customHeight="1" x14ac:dyDescent="0.25">
      <c r="A4" s="7">
        <f t="shared" si="2"/>
        <v>2019</v>
      </c>
      <c r="B4" s="77">
        <v>2854845.1106666666</v>
      </c>
      <c r="C4" s="78">
        <v>8143000</v>
      </c>
      <c r="D4" s="78">
        <v>17056000</v>
      </c>
      <c r="E4" s="78">
        <v>17462000</v>
      </c>
      <c r="F4" s="78">
        <v>14938000</v>
      </c>
      <c r="G4" s="22">
        <f t="shared" si="0"/>
        <v>57599000</v>
      </c>
      <c r="H4" s="22">
        <f t="shared" si="1"/>
        <v>3309896.2696044217</v>
      </c>
      <c r="I4" s="22">
        <f t="shared" si="3"/>
        <v>54289103.730395578</v>
      </c>
    </row>
    <row r="5" spans="1:9" ht="15.75" customHeight="1" x14ac:dyDescent="0.25">
      <c r="A5" s="7">
        <f t="shared" si="2"/>
        <v>2020</v>
      </c>
      <c r="B5" s="77">
        <v>2823633.1889999998</v>
      </c>
      <c r="C5" s="78">
        <v>8008000</v>
      </c>
      <c r="D5" s="78">
        <v>17007000</v>
      </c>
      <c r="E5" s="78">
        <v>17467000</v>
      </c>
      <c r="F5" s="78">
        <v>15217000</v>
      </c>
      <c r="G5" s="22">
        <f t="shared" si="0"/>
        <v>57699000</v>
      </c>
      <c r="H5" s="22">
        <f t="shared" si="1"/>
        <v>3273709.2895452613</v>
      </c>
      <c r="I5" s="22">
        <f t="shared" si="3"/>
        <v>54425290.71045474</v>
      </c>
    </row>
    <row r="6" spans="1:9" ht="15.75" customHeight="1" x14ac:dyDescent="0.25">
      <c r="A6" s="7">
        <f t="shared" si="2"/>
        <v>2021</v>
      </c>
      <c r="B6" s="77">
        <v>2796590.3867999995</v>
      </c>
      <c r="C6" s="78">
        <v>7876000</v>
      </c>
      <c r="D6" s="78">
        <v>16955000</v>
      </c>
      <c r="E6" s="78">
        <v>17439000</v>
      </c>
      <c r="F6" s="78">
        <v>15521000</v>
      </c>
      <c r="G6" s="22">
        <f t="shared" si="0"/>
        <v>57791000</v>
      </c>
      <c r="H6" s="22">
        <f t="shared" si="1"/>
        <v>3242355.9703101842</v>
      </c>
      <c r="I6" s="22">
        <f t="shared" si="3"/>
        <v>54548644.029689819</v>
      </c>
    </row>
    <row r="7" spans="1:9" ht="15.75" customHeight="1" x14ac:dyDescent="0.25">
      <c r="A7" s="7">
        <f t="shared" si="2"/>
        <v>2022</v>
      </c>
      <c r="B7" s="77">
        <v>2768218.1351999999</v>
      </c>
      <c r="C7" s="78">
        <v>7737000</v>
      </c>
      <c r="D7" s="78">
        <v>16888000</v>
      </c>
      <c r="E7" s="78">
        <v>17360000</v>
      </c>
      <c r="F7" s="78">
        <v>15846000</v>
      </c>
      <c r="G7" s="22">
        <f t="shared" si="0"/>
        <v>57831000</v>
      </c>
      <c r="H7" s="22">
        <f t="shared" si="1"/>
        <v>3209461.292633893</v>
      </c>
      <c r="I7" s="22">
        <f t="shared" si="3"/>
        <v>54621538.707366109</v>
      </c>
    </row>
    <row r="8" spans="1:9" ht="15.75" customHeight="1" x14ac:dyDescent="0.25">
      <c r="A8" s="7">
        <f t="shared" si="2"/>
        <v>2023</v>
      </c>
      <c r="B8" s="77">
        <v>2738552.7545999996</v>
      </c>
      <c r="C8" s="78">
        <v>7601000</v>
      </c>
      <c r="D8" s="78">
        <v>16795000</v>
      </c>
      <c r="E8" s="78">
        <v>17251000</v>
      </c>
      <c r="F8" s="78">
        <v>16171000</v>
      </c>
      <c r="G8" s="22">
        <f t="shared" si="0"/>
        <v>57818000</v>
      </c>
      <c r="H8" s="22">
        <f t="shared" si="1"/>
        <v>3175067.3662462696</v>
      </c>
      <c r="I8" s="22">
        <f t="shared" si="3"/>
        <v>54642932.633753732</v>
      </c>
    </row>
    <row r="9" spans="1:9" ht="15.75" customHeight="1" x14ac:dyDescent="0.25">
      <c r="A9" s="7">
        <f t="shared" si="2"/>
        <v>2024</v>
      </c>
      <c r="B9" s="77">
        <v>2707642.9187999992</v>
      </c>
      <c r="C9" s="78">
        <v>7484000</v>
      </c>
      <c r="D9" s="78">
        <v>16670000</v>
      </c>
      <c r="E9" s="78">
        <v>17146000</v>
      </c>
      <c r="F9" s="78">
        <v>16468000</v>
      </c>
      <c r="G9" s="22">
        <f t="shared" si="0"/>
        <v>57768000</v>
      </c>
      <c r="H9" s="22">
        <f t="shared" si="1"/>
        <v>3139230.6233609025</v>
      </c>
      <c r="I9" s="22">
        <f t="shared" si="3"/>
        <v>54628769.376639098</v>
      </c>
    </row>
    <row r="10" spans="1:9" ht="15.75" customHeight="1" x14ac:dyDescent="0.25">
      <c r="A10" s="7">
        <f t="shared" si="2"/>
        <v>2025</v>
      </c>
      <c r="B10" s="77">
        <v>2675524.3110000002</v>
      </c>
      <c r="C10" s="78">
        <v>7393000</v>
      </c>
      <c r="D10" s="78">
        <v>16505000</v>
      </c>
      <c r="E10" s="78">
        <v>17064000</v>
      </c>
      <c r="F10" s="78">
        <v>16713000</v>
      </c>
      <c r="G10" s="22">
        <f t="shared" si="0"/>
        <v>57675000</v>
      </c>
      <c r="H10" s="22">
        <f t="shared" si="1"/>
        <v>3101992.4349404881</v>
      </c>
      <c r="I10" s="22">
        <f t="shared" si="3"/>
        <v>54573007.565059513</v>
      </c>
    </row>
    <row r="11" spans="1:9" ht="15.75" customHeight="1" x14ac:dyDescent="0.25">
      <c r="A11" s="7">
        <f t="shared" si="2"/>
        <v>2026</v>
      </c>
      <c r="B11" s="77">
        <v>2651390.91</v>
      </c>
      <c r="C11" s="78">
        <v>7333000</v>
      </c>
      <c r="D11" s="78">
        <v>16314000</v>
      </c>
      <c r="E11" s="78">
        <v>17011000</v>
      </c>
      <c r="F11" s="78">
        <v>16909000</v>
      </c>
      <c r="G11" s="22">
        <f t="shared" si="0"/>
        <v>57567000</v>
      </c>
      <c r="H11" s="22">
        <f t="shared" si="1"/>
        <v>3074012.2640918801</v>
      </c>
      <c r="I11" s="22">
        <f t="shared" si="3"/>
        <v>54492987.735908121</v>
      </c>
    </row>
    <row r="12" spans="1:9" ht="15.75" customHeight="1" x14ac:dyDescent="0.25">
      <c r="A12" s="7">
        <f t="shared" si="2"/>
        <v>2027</v>
      </c>
      <c r="B12" s="77">
        <v>2626209.6210000003</v>
      </c>
      <c r="C12" s="78">
        <v>7303000</v>
      </c>
      <c r="D12" s="78">
        <v>16084000</v>
      </c>
      <c r="E12" s="78">
        <v>16983000</v>
      </c>
      <c r="F12" s="78">
        <v>17057000</v>
      </c>
      <c r="G12" s="22">
        <f t="shared" si="0"/>
        <v>57427000</v>
      </c>
      <c r="H12" s="22">
        <f t="shared" si="1"/>
        <v>3044817.1759893713</v>
      </c>
      <c r="I12" s="22">
        <f t="shared" si="3"/>
        <v>54382182.824010625</v>
      </c>
    </row>
    <row r="13" spans="1:9" ht="15.75" customHeight="1" x14ac:dyDescent="0.25">
      <c r="A13" s="7">
        <f t="shared" si="2"/>
        <v>2028</v>
      </c>
      <c r="B13" s="77">
        <v>2600009.1720000003</v>
      </c>
      <c r="C13" s="78">
        <v>7289000</v>
      </c>
      <c r="D13" s="78">
        <v>15830000</v>
      </c>
      <c r="E13" s="78">
        <v>16966000</v>
      </c>
      <c r="F13" s="78">
        <v>17156000</v>
      </c>
      <c r="G13" s="22">
        <f t="shared" si="0"/>
        <v>57241000</v>
      </c>
      <c r="H13" s="22">
        <f t="shared" si="1"/>
        <v>3014440.4777639429</v>
      </c>
      <c r="I13" s="22">
        <f t="shared" si="3"/>
        <v>54226559.522236057</v>
      </c>
    </row>
    <row r="14" spans="1:9" ht="15.75" customHeight="1" x14ac:dyDescent="0.25">
      <c r="A14" s="7">
        <f t="shared" si="2"/>
        <v>2029</v>
      </c>
      <c r="B14" s="77">
        <v>2572818.2910000007</v>
      </c>
      <c r="C14" s="78">
        <v>7273000</v>
      </c>
      <c r="D14" s="78">
        <v>15581000</v>
      </c>
      <c r="E14" s="78">
        <v>16941000</v>
      </c>
      <c r="F14" s="78">
        <v>17209000</v>
      </c>
      <c r="G14" s="22">
        <f t="shared" si="0"/>
        <v>57004000</v>
      </c>
      <c r="H14" s="22">
        <f t="shared" si="1"/>
        <v>2982915.4765465772</v>
      </c>
      <c r="I14" s="22">
        <f t="shared" si="3"/>
        <v>54021084.523453422</v>
      </c>
    </row>
    <row r="15" spans="1:9" ht="15.75" customHeight="1" x14ac:dyDescent="0.25">
      <c r="A15" s="7">
        <f t="shared" si="2"/>
        <v>2030</v>
      </c>
      <c r="B15" s="77">
        <v>2544676.9920000001</v>
      </c>
      <c r="C15" s="78">
        <v>7242000</v>
      </c>
      <c r="D15" s="78">
        <v>15357000</v>
      </c>
      <c r="E15" s="78">
        <v>16895000</v>
      </c>
      <c r="F15" s="78">
        <v>17219000</v>
      </c>
      <c r="G15" s="22">
        <f t="shared" si="0"/>
        <v>56713000</v>
      </c>
      <c r="H15" s="22">
        <f t="shared" si="1"/>
        <v>2950288.5644125687</v>
      </c>
      <c r="I15" s="22">
        <f t="shared" si="3"/>
        <v>53762711.435587429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127.5335703138949</v>
      </c>
      <c r="I17" s="22">
        <f t="shared" si="4"/>
        <v>-127.5335703138949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5.3424309999999999E-3</v>
      </c>
    </row>
    <row r="4" spans="1:8" ht="15.75" customHeight="1" x14ac:dyDescent="0.25">
      <c r="B4" s="24" t="s">
        <v>7</v>
      </c>
      <c r="C4" s="79">
        <v>0.21269811659228516</v>
      </c>
    </row>
    <row r="5" spans="1:8" ht="15.75" customHeight="1" x14ac:dyDescent="0.25">
      <c r="B5" s="24" t="s">
        <v>8</v>
      </c>
      <c r="C5" s="79">
        <v>2.9947694132160051E-2</v>
      </c>
    </row>
    <row r="6" spans="1:8" ht="15.75" customHeight="1" x14ac:dyDescent="0.25">
      <c r="B6" s="24" t="s">
        <v>10</v>
      </c>
      <c r="C6" s="79">
        <v>0.11641545388642971</v>
      </c>
    </row>
    <row r="7" spans="1:8" ht="15.75" customHeight="1" x14ac:dyDescent="0.25">
      <c r="B7" s="24" t="s">
        <v>13</v>
      </c>
      <c r="C7" s="79">
        <v>0.20847671643402971</v>
      </c>
    </row>
    <row r="8" spans="1:8" ht="15.75" customHeight="1" x14ac:dyDescent="0.25">
      <c r="B8" s="24" t="s">
        <v>14</v>
      </c>
      <c r="C8" s="79">
        <v>2.9363800465862525E-4</v>
      </c>
    </row>
    <row r="9" spans="1:8" ht="15.75" customHeight="1" x14ac:dyDescent="0.25">
      <c r="B9" s="24" t="s">
        <v>27</v>
      </c>
      <c r="C9" s="79">
        <v>0.20565286702024652</v>
      </c>
    </row>
    <row r="10" spans="1:8" ht="15.75" customHeight="1" x14ac:dyDescent="0.25">
      <c r="B10" s="24" t="s">
        <v>15</v>
      </c>
      <c r="C10" s="79">
        <v>0.22117308293019011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7.0191418970270994E-2</v>
      </c>
      <c r="D14" s="79">
        <v>7.0191418970270994E-2</v>
      </c>
      <c r="E14" s="79">
        <v>4.5273727573554294E-2</v>
      </c>
      <c r="F14" s="79">
        <v>4.5273727573554294E-2</v>
      </c>
    </row>
    <row r="15" spans="1:8" ht="15.75" customHeight="1" x14ac:dyDescent="0.25">
      <c r="B15" s="24" t="s">
        <v>16</v>
      </c>
      <c r="C15" s="79">
        <v>0.15667832755040101</v>
      </c>
      <c r="D15" s="79">
        <v>0.15667832755040101</v>
      </c>
      <c r="E15" s="79">
        <v>0.13776526949441201</v>
      </c>
      <c r="F15" s="79">
        <v>0.13776526949441201</v>
      </c>
    </row>
    <row r="16" spans="1:8" ht="15.75" customHeight="1" x14ac:dyDescent="0.25">
      <c r="B16" s="24" t="s">
        <v>17</v>
      </c>
      <c r="C16" s="79">
        <v>2.7502985701648299E-2</v>
      </c>
      <c r="D16" s="79">
        <v>2.7502985701648299E-2</v>
      </c>
      <c r="E16" s="79">
        <v>3.2194926317488201E-2</v>
      </c>
      <c r="F16" s="79">
        <v>3.2194926317488201E-2</v>
      </c>
    </row>
    <row r="17" spans="1:8" ht="15.75" customHeight="1" x14ac:dyDescent="0.25">
      <c r="B17" s="24" t="s">
        <v>18</v>
      </c>
      <c r="C17" s="79">
        <v>2.35032954858133E-4</v>
      </c>
      <c r="D17" s="79">
        <v>2.35032954858133E-4</v>
      </c>
      <c r="E17" s="79">
        <v>5.5049997606924602E-4</v>
      </c>
      <c r="F17" s="79">
        <v>5.5049997606924602E-4</v>
      </c>
    </row>
    <row r="18" spans="1:8" ht="15.75" customHeight="1" x14ac:dyDescent="0.25">
      <c r="B18" s="24" t="s">
        <v>19</v>
      </c>
      <c r="C18" s="79">
        <v>6.7565540247664795E-5</v>
      </c>
      <c r="D18" s="79">
        <v>6.7565540247664795E-5</v>
      </c>
      <c r="E18" s="79">
        <v>4.1449107296219099E-4</v>
      </c>
      <c r="F18" s="79">
        <v>4.1449107296219099E-4</v>
      </c>
    </row>
    <row r="19" spans="1:8" ht="15.75" customHeight="1" x14ac:dyDescent="0.25">
      <c r="B19" s="24" t="s">
        <v>20</v>
      </c>
      <c r="C19" s="79">
        <v>4.5491001063427596E-3</v>
      </c>
      <c r="D19" s="79">
        <v>4.5491001063427596E-3</v>
      </c>
      <c r="E19" s="79">
        <v>2.2143810860860902E-3</v>
      </c>
      <c r="F19" s="79">
        <v>2.2143810860860902E-3</v>
      </c>
    </row>
    <row r="20" spans="1:8" ht="15.75" customHeight="1" x14ac:dyDescent="0.25">
      <c r="B20" s="24" t="s">
        <v>21</v>
      </c>
      <c r="C20" s="79">
        <v>1.3277820289878599E-2</v>
      </c>
      <c r="D20" s="79">
        <v>1.3277820289878599E-2</v>
      </c>
      <c r="E20" s="79">
        <v>1.7965152542047599E-2</v>
      </c>
      <c r="F20" s="79">
        <v>1.7965152542047599E-2</v>
      </c>
    </row>
    <row r="21" spans="1:8" ht="15.75" customHeight="1" x14ac:dyDescent="0.25">
      <c r="B21" s="24" t="s">
        <v>22</v>
      </c>
      <c r="C21" s="79">
        <v>8.7586037436540295E-2</v>
      </c>
      <c r="D21" s="79">
        <v>8.7586037436540295E-2</v>
      </c>
      <c r="E21" s="79">
        <v>0.24170699022168499</v>
      </c>
      <c r="F21" s="79">
        <v>0.24170699022168499</v>
      </c>
    </row>
    <row r="22" spans="1:8" ht="15.75" customHeight="1" x14ac:dyDescent="0.25">
      <c r="B22" s="24" t="s">
        <v>23</v>
      </c>
      <c r="C22" s="79">
        <v>0.63991171144981229</v>
      </c>
      <c r="D22" s="79">
        <v>0.63991171144981229</v>
      </c>
      <c r="E22" s="79">
        <v>0.52191456171569539</v>
      </c>
      <c r="F22" s="79">
        <v>0.52191456171569539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5.79E-2</v>
      </c>
    </row>
    <row r="27" spans="1:8" ht="15.75" customHeight="1" x14ac:dyDescent="0.25">
      <c r="B27" s="24" t="s">
        <v>39</v>
      </c>
      <c r="C27" s="79">
        <v>2.6800000000000001E-2</v>
      </c>
    </row>
    <row r="28" spans="1:8" ht="15.75" customHeight="1" x14ac:dyDescent="0.25">
      <c r="B28" s="24" t="s">
        <v>40</v>
      </c>
      <c r="C28" s="79">
        <v>6.3E-2</v>
      </c>
    </row>
    <row r="29" spans="1:8" ht="15.75" customHeight="1" x14ac:dyDescent="0.25">
      <c r="B29" s="24" t="s">
        <v>41</v>
      </c>
      <c r="C29" s="79">
        <v>0.2273</v>
      </c>
    </row>
    <row r="30" spans="1:8" ht="15.75" customHeight="1" x14ac:dyDescent="0.25">
      <c r="B30" s="24" t="s">
        <v>42</v>
      </c>
      <c r="C30" s="79">
        <v>8.1699999999999995E-2</v>
      </c>
    </row>
    <row r="31" spans="1:8" ht="15.75" customHeight="1" x14ac:dyDescent="0.25">
      <c r="B31" s="24" t="s">
        <v>43</v>
      </c>
      <c r="C31" s="79">
        <v>8.8599999999999998E-2</v>
      </c>
    </row>
    <row r="32" spans="1:8" ht="15.75" customHeight="1" x14ac:dyDescent="0.25">
      <c r="B32" s="24" t="s">
        <v>44</v>
      </c>
      <c r="C32" s="79">
        <v>4.7E-2</v>
      </c>
    </row>
    <row r="33" spans="2:3" ht="15.75" customHeight="1" x14ac:dyDescent="0.25">
      <c r="B33" s="24" t="s">
        <v>45</v>
      </c>
      <c r="C33" s="79">
        <v>0.18239999999999998</v>
      </c>
    </row>
    <row r="34" spans="2:3" ht="15.75" customHeight="1" x14ac:dyDescent="0.25">
      <c r="B34" s="24" t="s">
        <v>46</v>
      </c>
      <c r="C34" s="79">
        <v>0.22530000000223516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0.78480045945988397</v>
      </c>
      <c r="D2" s="80">
        <v>0.78480045945988397</v>
      </c>
      <c r="E2" s="80">
        <v>0.75462226806075083</v>
      </c>
      <c r="F2" s="80">
        <v>0.67590186732649704</v>
      </c>
      <c r="G2" s="80">
        <v>0.64578669550382317</v>
      </c>
    </row>
    <row r="3" spans="1:15" ht="15.75" customHeight="1" x14ac:dyDescent="0.25">
      <c r="A3" s="5"/>
      <c r="B3" s="11" t="s">
        <v>118</v>
      </c>
      <c r="C3" s="80">
        <v>0.17463109561491458</v>
      </c>
      <c r="D3" s="80">
        <v>0.17463109561491458</v>
      </c>
      <c r="E3" s="80">
        <v>0.1805215995917234</v>
      </c>
      <c r="F3" s="80">
        <v>0.24162675450319224</v>
      </c>
      <c r="G3" s="80">
        <v>0.27174192632586619</v>
      </c>
    </row>
    <row r="4" spans="1:15" ht="15.75" customHeight="1" x14ac:dyDescent="0.25">
      <c r="A4" s="5"/>
      <c r="B4" s="11" t="s">
        <v>116</v>
      </c>
      <c r="C4" s="81">
        <v>2.1885608446490214E-2</v>
      </c>
      <c r="D4" s="81">
        <v>2.1885608446490214E-2</v>
      </c>
      <c r="E4" s="81">
        <v>4.6173295868814739E-2</v>
      </c>
      <c r="F4" s="81">
        <v>5.7649895420023009E-2</v>
      </c>
      <c r="G4" s="81">
        <v>5.7649895420023009E-2</v>
      </c>
    </row>
    <row r="5" spans="1:15" ht="15.75" customHeight="1" x14ac:dyDescent="0.25">
      <c r="A5" s="5"/>
      <c r="B5" s="11" t="s">
        <v>119</v>
      </c>
      <c r="C5" s="81">
        <v>1.8682836478711162E-2</v>
      </c>
      <c r="D5" s="81">
        <v>1.8682836478711162E-2</v>
      </c>
      <c r="E5" s="81">
        <v>1.8682836478711162E-2</v>
      </c>
      <c r="F5" s="81">
        <v>2.4821482750287688E-2</v>
      </c>
      <c r="G5" s="81">
        <v>2.4821482750287688E-2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0.83354396989065827</v>
      </c>
      <c r="D8" s="80">
        <v>0.83354396989065827</v>
      </c>
      <c r="E8" s="80">
        <v>0.88893437571354172</v>
      </c>
      <c r="F8" s="80">
        <v>0.91838722963217212</v>
      </c>
      <c r="G8" s="80">
        <v>0.90474024253316343</v>
      </c>
    </row>
    <row r="9" spans="1:15" ht="15.75" customHeight="1" x14ac:dyDescent="0.25">
      <c r="B9" s="7" t="s">
        <v>121</v>
      </c>
      <c r="C9" s="80">
        <v>0.11361938310934183</v>
      </c>
      <c r="D9" s="80">
        <v>0.11361938310934183</v>
      </c>
      <c r="E9" s="80">
        <v>9.3087489286458325E-2</v>
      </c>
      <c r="F9" s="80">
        <v>5.4843971367827871E-2</v>
      </c>
      <c r="G9" s="80">
        <v>8.5925050966836752E-2</v>
      </c>
    </row>
    <row r="10" spans="1:15" ht="15.75" customHeight="1" x14ac:dyDescent="0.25">
      <c r="B10" s="7" t="s">
        <v>122</v>
      </c>
      <c r="C10" s="81">
        <v>4.4318073399999998E-2</v>
      </c>
      <c r="D10" s="81">
        <v>4.4318073399999998E-2</v>
      </c>
      <c r="E10" s="81">
        <v>1.770837999999999E-3</v>
      </c>
      <c r="F10" s="81">
        <v>2.4046289499999998E-2</v>
      </c>
      <c r="G10" s="81">
        <v>8.2444431633333318E-3</v>
      </c>
    </row>
    <row r="11" spans="1:15" ht="15.75" customHeight="1" x14ac:dyDescent="0.25">
      <c r="B11" s="7" t="s">
        <v>123</v>
      </c>
      <c r="C11" s="81">
        <v>8.5185736000000008E-3</v>
      </c>
      <c r="D11" s="81">
        <v>8.5185736000000008E-3</v>
      </c>
      <c r="E11" s="81">
        <v>1.6207296999999999E-2</v>
      </c>
      <c r="F11" s="81">
        <v>2.7225094999999999E-3</v>
      </c>
      <c r="G11" s="81">
        <v>1.0902633366666665E-3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0.37730602575</v>
      </c>
      <c r="D14" s="82">
        <v>0.36074305567499998</v>
      </c>
      <c r="E14" s="82">
        <v>0.36074305567499998</v>
      </c>
      <c r="F14" s="82">
        <v>0.21663634301400003</v>
      </c>
      <c r="G14" s="82">
        <v>0.21663634301400003</v>
      </c>
      <c r="H14" s="83">
        <v>0.373</v>
      </c>
      <c r="I14" s="83">
        <v>0.373</v>
      </c>
      <c r="J14" s="83">
        <v>0.373</v>
      </c>
      <c r="K14" s="83">
        <v>0.373</v>
      </c>
      <c r="L14" s="83">
        <v>0.38596748680800003</v>
      </c>
      <c r="M14" s="83">
        <v>0.33799769682949998</v>
      </c>
      <c r="N14" s="83">
        <v>0.2753787822855</v>
      </c>
      <c r="O14" s="83">
        <v>0.29949853049149999</v>
      </c>
    </row>
    <row r="15" spans="1:15" ht="15.75" customHeight="1" x14ac:dyDescent="0.25">
      <c r="B15" s="16" t="s">
        <v>68</v>
      </c>
      <c r="C15" s="80">
        <f>iron_deficiency_anaemia*C14</f>
        <v>0.20409750118005485</v>
      </c>
      <c r="D15" s="80">
        <f t="shared" ref="D15:O15" si="0">iron_deficiency_anaemia*D14</f>
        <v>0.19513803439786412</v>
      </c>
      <c r="E15" s="80">
        <f t="shared" si="0"/>
        <v>0.19513803439786412</v>
      </c>
      <c r="F15" s="80">
        <f t="shared" si="0"/>
        <v>0.11718587368450646</v>
      </c>
      <c r="G15" s="80">
        <f t="shared" si="0"/>
        <v>0.11718587368450646</v>
      </c>
      <c r="H15" s="80">
        <f t="shared" si="0"/>
        <v>0.20176822723367402</v>
      </c>
      <c r="I15" s="80">
        <f t="shared" si="0"/>
        <v>0.20176822723367402</v>
      </c>
      <c r="J15" s="80">
        <f t="shared" si="0"/>
        <v>0.20176822723367402</v>
      </c>
      <c r="K15" s="80">
        <f t="shared" si="0"/>
        <v>0.20176822723367402</v>
      </c>
      <c r="L15" s="80">
        <f t="shared" si="0"/>
        <v>0.20878277636216255</v>
      </c>
      <c r="M15" s="80">
        <f t="shared" si="0"/>
        <v>0.1828343058937078</v>
      </c>
      <c r="N15" s="80">
        <f t="shared" si="0"/>
        <v>0.14896163195579951</v>
      </c>
      <c r="O15" s="80">
        <f t="shared" si="0"/>
        <v>0.16200881382402257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0.29399999999999998</v>
      </c>
      <c r="D2" s="81">
        <v>0.29399999999999998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0.155</v>
      </c>
      <c r="D3" s="81">
        <v>0.13100000000000001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0.17199999999999999</v>
      </c>
      <c r="D4" s="81">
        <v>0.17199999999999999</v>
      </c>
      <c r="E4" s="81">
        <v>0.46599999999999997</v>
      </c>
      <c r="F4" s="81">
        <v>0.38650000000000001</v>
      </c>
      <c r="G4" s="81">
        <v>0</v>
      </c>
    </row>
    <row r="5" spans="1:7" x14ac:dyDescent="0.25">
      <c r="B5" s="43" t="s">
        <v>169</v>
      </c>
      <c r="C5" s="80">
        <f>1-SUM(C2:C4)</f>
        <v>0.379</v>
      </c>
      <c r="D5" s="80">
        <f>1-SUM(D2:D4)</f>
        <v>0.40300000000000002</v>
      </c>
      <c r="E5" s="80">
        <f>1-SUM(E2:E4)</f>
        <v>0.53400000000000003</v>
      </c>
      <c r="F5" s="80">
        <f>1-SUM(F2:F4)</f>
        <v>0.61349999999999993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9.7220000000000001E-2</v>
      </c>
      <c r="D2" s="144">
        <v>9.5600000000000004E-2</v>
      </c>
      <c r="E2" s="144">
        <v>9.4009999999999996E-2</v>
      </c>
      <c r="F2" s="144">
        <v>9.2429999999999998E-2</v>
      </c>
      <c r="G2" s="144">
        <v>9.0879999999999989E-2</v>
      </c>
      <c r="H2" s="144">
        <v>8.9349999999999999E-2</v>
      </c>
      <c r="I2" s="144">
        <v>8.7849999999999998E-2</v>
      </c>
      <c r="J2" s="144">
        <v>8.6359999999999992E-2</v>
      </c>
      <c r="K2" s="144">
        <v>8.4900000000000003E-2</v>
      </c>
      <c r="L2" s="144">
        <v>8.345000000000001E-2</v>
      </c>
      <c r="M2" s="144">
        <v>8.2019999999999996E-2</v>
      </c>
      <c r="N2" s="144">
        <v>8.0619999999999997E-2</v>
      </c>
      <c r="O2" s="144">
        <v>7.9250000000000001E-2</v>
      </c>
      <c r="P2" s="144">
        <v>7.7899999999999997E-2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1.2199999999999999E-2</v>
      </c>
      <c r="D4" s="144">
        <v>1.1990000000000001E-2</v>
      </c>
      <c r="E4" s="144">
        <v>1.179E-2</v>
      </c>
      <c r="F4" s="144">
        <v>1.1599999999999999E-2</v>
      </c>
      <c r="G4" s="144">
        <v>1.1399999999999999E-2</v>
      </c>
      <c r="H4" s="144">
        <v>1.1220000000000001E-2</v>
      </c>
      <c r="I4" s="144">
        <v>1.1040000000000001E-2</v>
      </c>
      <c r="J4" s="144">
        <v>1.0869999999999999E-2</v>
      </c>
      <c r="K4" s="144">
        <v>1.0700000000000001E-2</v>
      </c>
      <c r="L4" s="144">
        <v>1.0540000000000001E-2</v>
      </c>
      <c r="M4" s="144">
        <v>1.038E-2</v>
      </c>
      <c r="N4" s="144">
        <v>1.023E-2</v>
      </c>
      <c r="O4" s="144">
        <v>1.008E-2</v>
      </c>
      <c r="P4" s="144">
        <v>9.92E-3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0.13292563027354784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0.20176822723367402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0.17091318281560319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0.29399999999999998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0.41299999999999998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18.361000000000001</v>
      </c>
      <c r="D13" s="143">
        <v>17.882000000000001</v>
      </c>
      <c r="E13" s="143">
        <v>17.436</v>
      </c>
      <c r="F13" s="143">
        <v>17.012</v>
      </c>
      <c r="G13" s="143">
        <v>16.606999999999999</v>
      </c>
      <c r="H13" s="143">
        <v>16.213999999999999</v>
      </c>
      <c r="I13" s="143">
        <v>15.823</v>
      </c>
      <c r="J13" s="143">
        <v>15.438000000000001</v>
      </c>
      <c r="K13" s="143">
        <v>15.074</v>
      </c>
      <c r="L13" s="143">
        <v>14.741</v>
      </c>
      <c r="M13" s="143">
        <v>14.43</v>
      </c>
      <c r="N13" s="143">
        <v>14.122</v>
      </c>
      <c r="O13" s="143">
        <v>13.815</v>
      </c>
      <c r="P13" s="143">
        <v>13.5</v>
      </c>
    </row>
    <row r="14" spans="1:16" x14ac:dyDescent="0.25">
      <c r="B14" s="16" t="s">
        <v>170</v>
      </c>
      <c r="C14" s="143">
        <f>maternal_mortality</f>
        <v>0.44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8.8000000000000009E-2</v>
      </c>
      <c r="E2" s="92">
        <f>food_insecure</f>
        <v>8.8000000000000009E-2</v>
      </c>
      <c r="F2" s="92">
        <f>food_insecure</f>
        <v>8.8000000000000009E-2</v>
      </c>
      <c r="G2" s="92">
        <f>food_insecure</f>
        <v>8.8000000000000009E-2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8.8000000000000009E-2</v>
      </c>
      <c r="F5" s="92">
        <f>food_insecure</f>
        <v>8.8000000000000009E-2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4.9211694034518944E-2</v>
      </c>
      <c r="D7" s="92">
        <f>diarrhoea_1_5mo/26</f>
        <v>6.0716012173461537E-2</v>
      </c>
      <c r="E7" s="92">
        <f>diarrhoea_6_11mo/26</f>
        <v>6.0716012173461537E-2</v>
      </c>
      <c r="F7" s="92">
        <f>diarrhoea_12_23mo/26</f>
        <v>4.5617720101538459E-2</v>
      </c>
      <c r="G7" s="92">
        <f>diarrhoea_24_59mo/26</f>
        <v>4.5617720101538459E-2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8.8000000000000009E-2</v>
      </c>
      <c r="F8" s="92">
        <f>food_insecure</f>
        <v>8.8000000000000009E-2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0.49700000000000005</v>
      </c>
      <c r="E9" s="92">
        <f>IF(ISBLANK(comm_deliv), frac_children_health_facility,1)</f>
        <v>0.49700000000000005</v>
      </c>
      <c r="F9" s="92">
        <f>IF(ISBLANK(comm_deliv), frac_children_health_facility,1)</f>
        <v>0.49700000000000005</v>
      </c>
      <c r="G9" s="92">
        <f>IF(ISBLANK(comm_deliv), frac_children_health_facility,1)</f>
        <v>0.49700000000000005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4.9211694034518944E-2</v>
      </c>
      <c r="D11" s="92">
        <f>diarrhoea_1_5mo/26</f>
        <v>6.0716012173461537E-2</v>
      </c>
      <c r="E11" s="92">
        <f>diarrhoea_6_11mo/26</f>
        <v>6.0716012173461537E-2</v>
      </c>
      <c r="F11" s="92">
        <f>diarrhoea_12_23mo/26</f>
        <v>4.5617720101538459E-2</v>
      </c>
      <c r="G11" s="92">
        <f>diarrhoea_24_59mo/26</f>
        <v>4.5617720101538459E-2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8.8000000000000009E-2</v>
      </c>
      <c r="I14" s="92">
        <f>food_insecure</f>
        <v>8.8000000000000009E-2</v>
      </c>
      <c r="J14" s="92">
        <f>food_insecure</f>
        <v>8.8000000000000009E-2</v>
      </c>
      <c r="K14" s="92">
        <f>food_insecure</f>
        <v>8.8000000000000009E-2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0.90900000000000003</v>
      </c>
      <c r="I17" s="92">
        <f>frac_PW_health_facility</f>
        <v>0.90900000000000003</v>
      </c>
      <c r="J17" s="92">
        <f>frac_PW_health_facility</f>
        <v>0.90900000000000003</v>
      </c>
      <c r="K17" s="92">
        <f>frac_PW_health_facility</f>
        <v>0.90900000000000003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0.107</v>
      </c>
      <c r="M23" s="92">
        <f>famplan_unmet_need</f>
        <v>0.107</v>
      </c>
      <c r="N23" s="92">
        <f>famplan_unmet_need</f>
        <v>0.107</v>
      </c>
      <c r="O23" s="92">
        <f>famplan_unmet_need</f>
        <v>0.107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7.9955834252929861E-2</v>
      </c>
      <c r="M24" s="92">
        <f>(1-food_insecure)*(0.49)+food_insecure*(0.7)</f>
        <v>0.50848000000000004</v>
      </c>
      <c r="N24" s="92">
        <f>(1-food_insecure)*(0.49)+food_insecure*(0.7)</f>
        <v>0.50848000000000004</v>
      </c>
      <c r="O24" s="92">
        <f>(1-food_insecure)*(0.49)+food_insecure*(0.7)</f>
        <v>0.50848000000000004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3.4266786108398513E-2</v>
      </c>
      <c r="M25" s="92">
        <f>(1-food_insecure)*(0.21)+food_insecure*(0.3)</f>
        <v>0.21792</v>
      </c>
      <c r="N25" s="92">
        <f>(1-food_insecure)*(0.21)+food_insecure*(0.3)</f>
        <v>0.21792</v>
      </c>
      <c r="O25" s="92">
        <f>(1-food_insecure)*(0.21)+food_insecure*(0.3)</f>
        <v>0.21792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4.3022176391601656E-2</v>
      </c>
      <c r="M26" s="92">
        <f>(1-food_insecure)*(0.3)</f>
        <v>0.27360000000000001</v>
      </c>
      <c r="N26" s="92">
        <f>(1-food_insecure)*(0.3)</f>
        <v>0.27360000000000001</v>
      </c>
      <c r="O26" s="92">
        <f>(1-food_insecure)*(0.3)</f>
        <v>0.27360000000000001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0.84275520324706998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2020-03-24T06:48:37Z</dcterms:modified>
</cp:coreProperties>
</file>