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30B0461A-CDB3-4108-8A9A-A89F0F526FF4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6" i="2" s="1"/>
  <c r="A34" i="2"/>
  <c r="G16" i="2"/>
  <c r="H16" i="2"/>
  <c r="I16" i="2" s="1"/>
  <c r="G17" i="2"/>
  <c r="H17" i="2"/>
  <c r="G18" i="2"/>
  <c r="H18" i="2"/>
  <c r="G19" i="2"/>
  <c r="H19" i="2"/>
  <c r="I19" i="2"/>
  <c r="G20" i="2"/>
  <c r="H20" i="2"/>
  <c r="G21" i="2"/>
  <c r="H21" i="2"/>
  <c r="I21" i="2" s="1"/>
  <c r="G22" i="2"/>
  <c r="H22" i="2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G33" i="2"/>
  <c r="H33" i="2"/>
  <c r="I33" i="2" s="1"/>
  <c r="G34" i="2"/>
  <c r="H34" i="2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6" i="51" s="1"/>
  <c r="G5" i="50"/>
  <c r="F5" i="50"/>
  <c r="E5" i="50"/>
  <c r="D5" i="50"/>
  <c r="C5" i="50"/>
  <c r="C48" i="1"/>
  <c r="H3" i="2"/>
  <c r="H4" i="2"/>
  <c r="G4" i="2"/>
  <c r="H5" i="2"/>
  <c r="I5" i="2" s="1"/>
  <c r="H6" i="2"/>
  <c r="H7" i="2"/>
  <c r="H8" i="2"/>
  <c r="H9" i="2"/>
  <c r="H10" i="2"/>
  <c r="I10" i="2" s="1"/>
  <c r="H11" i="2"/>
  <c r="I11" i="2" s="1"/>
  <c r="H12" i="2"/>
  <c r="H13" i="2"/>
  <c r="I13" i="2" s="1"/>
  <c r="H14" i="2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34" i="2"/>
  <c r="I22" i="2"/>
  <c r="I18" i="2"/>
  <c r="I32" i="2"/>
  <c r="I20" i="2"/>
  <c r="A3" i="2"/>
  <c r="A4" i="2" s="1"/>
  <c r="A5" i="2" s="1"/>
  <c r="A24" i="2"/>
  <c r="A18" i="2"/>
  <c r="A40" i="2"/>
  <c r="A22" i="2"/>
  <c r="A27" i="2"/>
  <c r="A31" i="2"/>
  <c r="A20" i="2"/>
  <c r="I17" i="2"/>
  <c r="A19" i="2"/>
  <c r="A17" i="2"/>
  <c r="A33" i="2"/>
  <c r="A30" i="2"/>
  <c r="A23" i="2"/>
  <c r="A39" i="2"/>
  <c r="A37" i="2"/>
  <c r="A38" i="2"/>
  <c r="C8" i="51" l="1"/>
  <c r="C7" i="51"/>
  <c r="I15" i="2"/>
  <c r="I14" i="2"/>
  <c r="I12" i="2"/>
  <c r="I9" i="2"/>
  <c r="I8" i="2"/>
  <c r="I7" i="2"/>
  <c r="I6" i="2"/>
  <c r="I4" i="2"/>
  <c r="I3" i="2"/>
  <c r="I2" i="2"/>
  <c r="A21" i="2"/>
  <c r="A28" i="2"/>
  <c r="A29" i="2"/>
  <c r="A32" i="2"/>
  <c r="A35" i="2"/>
  <c r="A2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26" i="2"/>
  <c r="A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3BDDC4C7-EF7C-4E18-A605-8884E6E9F90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85D9E0C4-4D47-4CCE-B6AA-5AF3114E8466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596C38DB-F51A-4933-8D50-12E5C472E3CE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11297FDC-1968-4B72-A70B-D2AB5C3A3D7B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E1A4FC18-6161-4319-9E25-B3E2DFF14B9D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D46A1251-6868-4086-8A15-C23E9891F7E7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0FD6FF7D-BA4A-42B0-BBCA-A01809B5CCB9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DC043253-E731-4455-ACDC-E9185C9D44C8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AD983AFF-585D-4C27-AC63-B6AABBBEF646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77B385A6-F938-4200-A6B0-E817B6B08198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9022027B-9A1E-4BBC-9503-58B90DB63226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11F79EDD-E43C-44AE-ACC8-8D996684B8D5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53D7092C-0D6E-44BA-9812-E4E843B3F950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AF878463-DD47-4476-A5F8-2052A813B37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BE25FE11-6996-40E1-B676-7AF37995CC08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8D406C45-59F8-4BE1-BE6E-A61FB851F7D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25B95E87-66D0-41A0-B507-0F401E5247BC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17C7007E-72C3-4673-AF62-1937BF76E45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DC8628CE-C4ED-410B-85EF-44879943E01E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B71C74E8-0BD3-4093-AE41-DB1BC141B86C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CE56F39D-7560-48DD-83F3-4EC54BFC4785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171A2D8D-6FD9-4DA8-AE5B-D51375FD63D7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9BA89E7D-072F-4AAA-B64C-2DEAF1413740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D767E525-C5EE-40B3-819E-786317F89A5B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BAF4C56B-A485-42E6-8A0A-340BEF0670D5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2B698237-7446-4A09-967D-2FFEA6C05D96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3E2DAE28-A8F7-48BB-8CA4-32AE943A896E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D7D11A85-FD86-4F0F-9D6B-53CFCADF5C9D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BB0DCE92-40C9-46B9-97AD-38C63111E6D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F0A3AA99-FDD8-46C8-B756-7122DC4F5B2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380F0040-98FD-4A66-832D-987B87D7A8C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74A64C04-3603-4545-B506-F59A799830A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FDD3A539-6C57-48E2-8488-B8D7107CC0B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0A6BBF64-A9A9-43AC-86E3-93CD3FA34229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590BFA4E-5DBF-42AD-92BA-EDF7B60121F9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7B8AD778-B62C-4FCC-88A9-B3B6DA95993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F5663992-840E-43C2-9E20-4B81B6C4F09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7ED1171C-F88F-4B18-950E-E392CED073F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EA68F9E1-D731-4AE9-84C4-A3408FF92BD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E050D286-978F-4377-BA44-21DC7FDBD0B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E29B4E67-8B2A-4B67-AAAF-ADFB193EF16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9330ABE0-A1D3-4D99-875B-1EA9C8C876B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BCC41FBA-0F30-4507-942E-807CE6878C2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AAFBE5F7-AE98-44F8-A63C-8DE6A51E0DD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E370A76F-1F45-423E-9A71-9E842F75D41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F8D7C323-0906-462B-8113-FF406637845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79F03399-7566-4B50-A253-B079C46455D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3076452A-DCE4-4BF5-B176-7FFE9CC2842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54DADF7E-5B6E-4CF6-86E7-4F4E59502CA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96E09E4E-ED3A-44F5-BE2C-DDBA4A7A80B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AD747556-DC58-4D19-B1D5-D45AD9FF685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B12587E6-9DBB-46AB-9EB7-3C878D0474A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321A8BA1-98AA-4099-85F7-0AF566F165D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8BA793BF-1236-43BE-A7E9-CBA0537BD00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37A8BF5F-FC1D-4DFC-AC40-619206A7506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89F96481-14F3-471A-8B90-FCE6F8B48FE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52A947B7-EAFE-4E0D-B977-071415CE626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67D65BCB-C725-48E2-A820-B0291821AA3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A9654CA0-207F-47C0-BB18-203604AF3F9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F63A6528-FF45-499F-AABE-77B51CDF4AC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5B939782-FA50-4307-AE58-D670ABB9777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F424D78F-C246-4CCF-864D-5AC6451BAA5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5D605EEE-183E-45E2-89AA-22BC5CAA532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C60CDA0F-04EE-48D7-A998-CE74ED603FE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F41BED76-6893-4C06-8DED-7C17525AB1A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5FB307AA-AD66-472E-A557-C42DF3EC3F0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C2278080-9481-4061-971A-8D244959767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3902B494-FD88-4B84-B983-100EBA447A1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24893F55-E998-4BF8-97DF-40DC135980B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3C79342A-1851-4288-834C-D5A8AC03C20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41AB60BA-19DB-4F33-B809-64F58B0CE90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4EE68DFB-D8CF-4DAB-B1AF-201E4924994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02507694-0161-42C3-87F6-C1E12514D99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2675314F-EF3C-4E37-AAC9-930081B8C49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54384979-C948-405E-AC21-1ACDEA081F0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19200B04-A934-4DF5-9AAA-DA9AF986490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39CC64FE-0E40-4D02-A679-162E84046AA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61AD5602-714D-4CF8-BECF-64EEC814697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0DC8863B-C564-4C17-B270-9782C48CE24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E1916BA6-854A-4838-AF7C-4C3B3A1F36F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851D9174-8A5B-4108-8174-D176E471098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FB3AD5F9-AAEA-4EB0-9235-757E063FB3E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D616E9B4-F70A-4CFB-8A73-CCFB0C61649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0C77C012-FDFB-414A-8A21-875F2438A53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3FC6811C-6977-4575-B5C4-BCBF7AEF766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74BCBFFC-3F8F-4AB6-B014-27BF9142410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37F159AB-F297-43A3-95B0-AF3BC7BEC95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893F0E66-A541-4E68-A466-A4B470B3E90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A951D943-3421-4A9B-B61C-EFC89120B39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66511240-89EC-41EA-906A-726F36843EA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805B2D61-6C9A-4C43-9798-24538FD3798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7BD4A31A-61F3-407A-B8C8-D3D02E620F7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A10B2739-45C0-4211-A2BD-31B059DC6FA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DDE62CE9-C974-4165-B26C-013E50D47F4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EF0AD433-7F22-4D00-9EDF-512626AC9D9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0E81D2A3-FB06-44FD-B28B-D27906958C9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F90A1522-6B60-4E9F-94EE-9E83BE7E463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3C3CCD64-F4A6-4111-9428-1C44B420D49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DD646DEB-6485-4719-B9FD-407B940C712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62B94D75-17E7-4883-B090-6EE569BB2C9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CFDDECCD-6C0E-417D-845B-CAF1FA0148C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7D6FC269-08DA-4A31-A080-7A90302ADC1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B2B679F9-D765-4790-AF53-8D3CE5248C4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4EC2246F-0E95-47D7-930C-F9D789259F6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4CBE0778-505D-4222-802B-222FF3142B3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40B9148B-D364-4996-84F7-F576981A42B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3D4B2626-68AA-4753-BB8A-26EFB6F898C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FC861214-695F-492A-AFF8-3CD173C9AA5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93C272C2-8229-4EA6-8D2D-3B330D97C12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C846B141-F5DF-481C-A08C-EF21893C745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DFCE52B0-6594-4D90-8B36-C8C41EF024D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6E264995-F64E-4924-BBC0-09D0C54F16C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0EEB104E-1419-4FA6-ACC7-B6EB33BFCBA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6DDBB87C-ED19-415A-9092-C363C798BF4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FE37C810-2FF5-4F3D-8FBE-16F794CF424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1CE32B45-D0CA-4CEB-96B9-0770AC637DE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99E0565D-B4FB-4012-B9B4-C567455445D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90964AA2-5069-43E0-B149-D0F7A8DE8B0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33571257-D5D5-4D08-B33D-1A4A35BFB27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71F80BC8-66CA-487F-A7E7-3262134161C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2D35A92F-3877-4B25-B821-579F1BF4905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7471DEFA-2180-4C38-ADA4-1F33A08E2B9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4D245868-E754-4249-B0F7-7F22EEAF11F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6003E1CD-5857-4313-BB4C-7D53E2A9351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F06E2B94-9AB4-4D58-B3EE-2203D092714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0C7DE265-706D-4EDC-B521-753352DE159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59EB76CE-8F6D-4DBE-B1D1-DA3DEA37BA1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21493F89-7894-419F-8270-0E6E8AC5C75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8941EA4F-9EAE-4C1F-A948-E3A4599D9C3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61B7EBA9-4CB9-4851-848A-7F0422D7B4A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3DDE9398-E768-46A8-8E2B-2C3DFBF254F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CB5BE496-E5DD-4ED6-92C5-B87C52617BE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D4A818E1-473F-4246-A987-21964BE0F86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9FD6B492-0FF2-4379-B24E-4D762834AEE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1681B31D-384A-4697-A085-F21F1A31E9A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8B75AB69-636F-4257-AABD-19FF1C1ABCE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5F75895D-FD55-4B52-97AA-0D3DD676A67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62C19753-6CED-45BD-9A69-592FABB36E1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B8A5241E-10BC-45EA-9D69-25A2539D51C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5989DA32-57DA-4710-AB05-58BD897A4CA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73709658-2B66-44D9-91EA-4DF1CA1A4D9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577D7C70-42E5-4F75-B7A7-A428461C8A9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DDA2CA62-B621-4D49-83F0-887F81DF64C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C0F5CA10-32FD-408B-B0A3-3EE03D57D0F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2CCD2A0B-0651-404E-AFB3-2645FF19E91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470FEC60-9B10-492D-A007-C161CA47D1F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22EAB410-1981-44DD-801B-B110897BFB6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0965984C-CD04-41FC-936F-35CE230AB36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FC94A5AF-1A2A-494F-A0F6-2E4DB027560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5A62C209-1E4D-431F-B5A9-F6D5EFDC5BC3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FDC6DF56-ED35-4BA9-9AD2-A9A2A6859E38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9210F804-8818-40F4-98B1-E5B1AD127D02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6D72EA19-2EDB-4373-9617-6BB891534BE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5DBC436B-CA50-4F04-A99F-7A455613CAF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8065C418-C000-4F95-98F3-BCCE5CE288D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0BAD4DD5-04AC-42D3-9117-F1FE4D7C5D7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35868058-1D31-4B4B-B529-309233CA41CC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07F7E414-E785-4FFD-9FE3-D971506C4A0B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B528CFCF-9061-4FB0-B827-772FDD0C0C1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69A427A8-F252-4654-8B27-F62DEBBB396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8FC5842C-7E19-4F42-9FA1-93542780DEA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94F0D035-887A-45D2-8A65-01BE78A8EFD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E2259831-1A32-4D52-91D5-85DAC30E59F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D6010D05-D41A-45BE-A99A-131198775DB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DA7C3945-00FB-4C81-A148-8B30C85D267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0BFA3771-C545-4AE2-B403-037DFF8972E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89D8F556-FEB9-4CFE-9FEE-AFBC7CFC1E4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601289D2-CECC-4F2C-9B4F-471CFE0A98D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E00724DE-875B-45E0-BC42-4CCE7918319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CB366DA2-A50D-44BA-BEF5-0CE0AC48A94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69381D5D-2626-43D2-A075-2A670AE0580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1B68CD8D-1462-4D04-9D2C-3AFA779CCA8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0732E5AA-597D-461D-9BCB-16F338AFCD2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CE9D71C9-9847-416F-8687-949D5CA7733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3F20B44C-4559-4E4E-A818-472C8DFDEEE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CE02E105-F9E0-4CFD-87D2-0F8963A9BF8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4770590E-0CCB-47E9-A788-D378C165873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2AB8AD35-794A-456B-A970-D6019778866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A9DFFE41-2E8A-4087-904C-DEC8A74A366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DD9EEB44-F651-49D4-9E78-2DDD5A2CAF1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B72B22EF-7EDD-4E15-852F-CB9F88660E2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8CCA18B5-84CB-4E82-AD31-451CD3B0816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DF35E79D-733B-44B8-83EE-EA66FD8E19B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277BBF4D-6AB3-45BE-9E04-FC2917B5D1B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62DBC255-FA13-4F72-A81E-B97BE43B93F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14B30599-75C4-41AC-9D8D-709CA09BC8D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80429917-5E63-47DB-AD58-FF1F08A8E7B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E733B3BC-9F25-4A3E-8A35-298A609EC76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5C37909A-3C38-49E2-8262-473FECFE135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94E5EE58-D1EA-41C6-AE5F-4810654FF61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C889A39B-47C9-4077-B851-44D7166FA6E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5F9C7FCD-A8B2-4323-9960-D1B51BDC8A3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1669EF4E-C429-4EEA-A4DC-A124FD0EADD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BA4E3209-ECAC-4D15-BD1D-ECD90187A17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0667EAF4-7F3A-4E16-9079-004868BD9BC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24F4951F-F49B-4891-A4EE-5B0EA7D1DCE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ABD5051D-6A45-4637-8A52-32F5B6D3430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6996A5C0-4E77-485B-B26C-2269D33221C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104D3A90-425F-4592-A735-B284E1CF3F6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B222753C-0D7E-4C8A-8FFD-50506760750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4D7A33B5-C34A-4411-9820-8C9FAC8B004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9021175A-801D-475D-AE0F-84DD47A22A2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68A232CE-1D5E-4478-AFBC-C8200781595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E40C0DB6-F39D-4DED-B7CB-ACAB6CBB693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C0D7CDCF-4851-4FB4-A270-2C0AF13C034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E5471041-933B-4E1C-AA54-595782B81AC7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4B23753C-757C-4BB1-9659-F4600335B54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B9E898EC-F6EB-4A6A-A45E-C2A18CED6E0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7D4E7F0C-6F24-483E-A5AC-1CEC8DA5D5B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C0E98702-09AB-4580-8990-AFCFC996259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FF8CDBF5-5AC7-4E43-B0CA-5C413BF70C1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B1C0E5EF-3F0D-4BC1-82BC-ACE50AB2E24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06965B43-AEDC-40F7-BB02-71EC27FB4223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239E7C62-77B2-4B8F-B050-9A3E4FC062C5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2E3227B7-E6D2-455D-9FC5-8176D4A5E8DC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94FD5C9C-4FA0-4BB3-AF31-AC0C4C93E9B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3BC2CF54-942A-48EA-B68C-AA0244DB75D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9DBEF60B-E3EA-430D-9251-DB0FD127DD9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73E9201C-FBA7-4867-9609-2D62CA3B2533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A42D7E15-F695-41FF-908C-9E053E73B4B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ECC7D78C-0B67-4199-A7AD-E763C5A7D6D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6D8A082B-6D3E-4651-9555-99F7F0C723C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59BA19D4-3D97-4460-8C86-E1E97DEC082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5866D9A9-8403-4550-BACC-DD6461648BD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5B5580D4-F0D5-44B5-BC4E-DDA1BE9E847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D6DDBC77-CE34-40E4-B236-BB0697CDFD5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63557425-5118-455A-831D-AD61C50CB81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22A0EA30-2674-470A-B953-CC8B63E03CB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B3B16F7F-5B3F-45F7-B01B-0F3ACE54477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B112CEDF-DBB7-4D45-8640-1344FB2714E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923C946E-5079-485E-A848-98B34E5D8D8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03BB20E7-3079-4F81-8ED7-4AB1ACFCB1D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1959B5A9-C432-456F-998E-001A42E2456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9AB780FF-00E4-4E31-BA2C-A0A6504E924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2B314DE0-8CA1-4A33-AF98-3870C4C0083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75D9E1E4-2DFB-4ED5-AF4E-AE857FC437E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F698E813-F457-4738-9630-8BD3A93663C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A74453CD-A3C0-4F22-8C3B-A44322111DC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1415E39C-9D3C-469B-B394-A3E8FAF5F01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8852473D-8AE1-408D-8CEC-104694BCA5A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F59B2CFA-7418-4872-8F42-E6A98B347D5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4F9A2A66-EFD4-4C48-87C9-9B1B2354A10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18B69762-23BB-4C30-85AD-127CD7210D2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B551F937-4EC7-4C4E-8889-5F5206FF25D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A82DA231-4649-4D52-BCD8-71A6CCF7904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1F31D0A7-B4E7-468C-883F-44F6FD51C6E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00AA5CCC-5526-4A84-9D13-0BFFA3493D1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BC6AADD9-02CA-4345-B1BC-B3DB43B67D4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B028C573-564D-403A-A450-CB47857964E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C1E53541-117D-4FAF-9231-2799752BCC3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F3716419-759D-4204-8346-0067EAAAE22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48036652-A01B-48F1-8429-84A6FFED6C9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5B91505A-E522-4BD8-BEE1-E0145272EA1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87D785E5-B6C2-4BAB-ACC8-B714DE03889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9AE2F26C-9745-432C-9DF2-FBA17793A85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ECB110CC-D033-42B6-98D1-7C45540DE98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36FDA6CC-1D00-4F38-98D2-EC3EB257074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A480BEFA-90BB-4B5A-8E1A-AE28FD78887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9FDD1AAB-8415-4460-B9F4-47A9F7F98A5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358C3E29-3898-49EF-B8E8-188E28A27AA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D25A8B63-C79F-49A4-8901-BF462F3CAF4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845217C1-8848-40AE-8CE5-C5A548961EB8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B02726D1-5B35-4C3A-B62B-B6B6735E1D2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F7823095-4435-445D-9506-71484D6D3D7F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D6AD3095-C521-4C16-9773-078E56DCA6AD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211F9F53-49AD-4DAA-9D91-2A9276E2E8A3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82069E05-A497-4547-9829-179A1873EC16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AFF04D5A-A280-427B-AA84-5F302470117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E3DB179A-5648-4C95-A06D-52DED63163B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DA0812D9-0F37-4112-881C-61DC4CD16B2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A41C464B-27EE-41D3-8C19-7567448271A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9684D0F4-DCEC-4584-A2B0-7BC76AE2228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A7304631-D0A4-4D82-AF9D-0E2F76AC16A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982F036C-26D5-4FD1-B7CE-6CE71A55947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D75F7590-C6D7-4B0A-9244-3A67E95E2A2D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A0D9479C-B426-46B2-B390-18528905D37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C7CADCD9-A6EF-430A-997B-0AEC79A2C25D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7EA03A5F-2301-4A49-A17B-6335712935C0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3B9B4E4D-74DA-4C7C-85E7-69910081F587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E88C3549-F197-4CFF-A589-59ECDA42097A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F9225788-8C34-47A0-864C-8019C553ADFE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D90D3E14-ACA9-4F78-85C4-BB7D935757FB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4B31A76D-E8AD-417A-8C1D-EEF427FE998D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F9E94623-5BF9-454E-9EAA-0F8757C50C84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F064EF0C-3A73-454A-8681-38C149A8FDD7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7D3418BD-36C3-4746-ACE4-A453D557BE99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681D159E-4AB3-4945-88DC-2F6A223DAD2A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86411D20-BD1F-44E2-AF81-0FA9F8E6ED01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4AF8183E-6FB5-4731-A85C-83CC6BD52998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55499B44-1F77-4AF5-81E7-94DE1D7FC2A3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2185D187-39FE-4030-B35C-7DEBD451E9F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94C29281-B4D5-4770-B9D3-32673E1203F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39365EC3-2886-4FDB-8A02-AD20FA2EA75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C4C04B40-5BE4-4926-93EF-8F98BC225295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A7DF7120-C97F-499A-9ED7-D6C6C0D4B178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DF8F8E8B-0BF2-4EB3-A76F-D38B75E6EC4D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3A2A52F3-0F1B-4114-90C0-C0485311F454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483D3EDB-CD98-44DB-BCE8-49FD92133878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CDA0ACE3-EB51-4B39-8532-6060F518F521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682BDF87-CE55-4E86-8F2A-0C076F57E060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6A8F31F8-B5C8-459F-98AC-AAF92D757EE6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273D31A8-040A-40FC-9099-79517049D610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61DEA3E0-BE09-459F-954C-ACC94550E135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B2F16EEA-FC28-415F-BC3B-0753B24E77F0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3B785B40-C544-4D2E-B981-7B77C1F9D7E4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A5BCB816-47EF-4630-AFAA-8E8A40F728C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0F766AA1-13E3-48B1-B19D-29828542154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8" authorId="0" shapeId="0" xr:uid="{474CF8CF-A181-4F97-BDC2-44E050D643F9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C4A63C5C-53A5-4BE6-9788-C4748AEA7682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61D0EE6E-CEDE-41FC-9553-B78D6D084E0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1C193F66-4603-497F-827F-88B93C8A25FE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B6EDF7DD-54DD-4BD1-819C-7E3A578710A6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A2056E34-5B3F-483B-A566-E54928BAA97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02DF7915-D2E7-469D-A5B8-6B266B71EF7D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81D2B199-AE42-4C02-BC1A-7DD234525210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07C4ED8C-D426-4D4E-8C4B-A724CBBEC26F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674B45D3-B36F-4446-84C4-51772C75BAA5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B8E9913F-A9E3-4E2D-85AC-BC4913710DCF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365D00D5-52E4-4B4C-86F1-DA10D7CCEFDB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8ED384CD-3E8A-4D96-BF1A-F11368F0CDA8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CAA4B779-63B7-48D4-97D4-94D086DAE6BB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2548CEA9-C904-44B6-AF4F-913DFF408F55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4FBC97D5-6B34-4F26-B99F-080516ED8021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<sst xmlns="http://schemas.openxmlformats.org/spreadsheetml/2006/main" count="1102" uniqueCount="271">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</sst>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1952135</v>
      </c>
    </row>
    <row r="8" spans="1:3" ht="15" customHeight="1" x14ac:dyDescent="0.25">
      <c r="B8" s="7" t="s">
        <v>106</v>
      </c>
      <c r="C8" s="70">
        <v>0.64900000000000002</v>
      </c>
    </row>
    <row r="9" spans="1:3" ht="15" customHeight="1" x14ac:dyDescent="0.25">
      <c r="B9" s="9" t="s">
        <v>107</v>
      </c>
      <c r="C9" s="71">
        <v>0.21</v>
      </c>
    </row>
    <row r="10" spans="1:3" ht="15" customHeight="1" x14ac:dyDescent="0.25">
      <c r="B10" s="9" t="s">
        <v>105</v>
      </c>
      <c r="C10" s="71">
        <v>0.31669290542602502</v>
      </c>
    </row>
    <row r="11" spans="1:3" ht="15" customHeight="1" x14ac:dyDescent="0.25">
      <c r="B11" s="7" t="s">
        <v>108</v>
      </c>
      <c r="C11" s="70">
        <v>0.49299999999999999</v>
      </c>
    </row>
    <row r="12" spans="1:3" ht="15" customHeight="1" x14ac:dyDescent="0.25">
      <c r="B12" s="7" t="s">
        <v>109</v>
      </c>
      <c r="C12" s="70">
        <v>0.625</v>
      </c>
    </row>
    <row r="13" spans="1:3" ht="15" customHeight="1" x14ac:dyDescent="0.25">
      <c r="B13" s="7" t="s">
        <v>110</v>
      </c>
      <c r="C13" s="70">
        <v>0.60699999999999998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3.6499999999999998E-2</v>
      </c>
    </row>
    <row r="24" spans="1:3" ht="15" customHeight="1" x14ac:dyDescent="0.25">
      <c r="B24" s="20" t="s">
        <v>102</v>
      </c>
      <c r="C24" s="71">
        <v>0.49450000000000005</v>
      </c>
    </row>
    <row r="25" spans="1:3" ht="15" customHeight="1" x14ac:dyDescent="0.25">
      <c r="B25" s="20" t="s">
        <v>103</v>
      </c>
      <c r="C25" s="71">
        <v>0.37510000000000004</v>
      </c>
    </row>
    <row r="26" spans="1:3" ht="15" customHeight="1" x14ac:dyDescent="0.25">
      <c r="B26" s="20" t="s">
        <v>104</v>
      </c>
      <c r="C26" s="71">
        <v>9.3900000000000011E-2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0.20699999999999999</v>
      </c>
    </row>
    <row r="30" spans="1:3" ht="14.25" customHeight="1" x14ac:dyDescent="0.25">
      <c r="B30" s="30" t="s">
        <v>76</v>
      </c>
      <c r="C30" s="73">
        <v>5.9000000000000004E-2</v>
      </c>
    </row>
    <row r="31" spans="1:3" ht="14.25" customHeight="1" x14ac:dyDescent="0.25">
      <c r="B31" s="30" t="s">
        <v>77</v>
      </c>
      <c r="C31" s="73">
        <v>0.13300000000000001</v>
      </c>
    </row>
    <row r="32" spans="1:3" ht="14.25" customHeight="1" x14ac:dyDescent="0.25">
      <c r="B32" s="30" t="s">
        <v>78</v>
      </c>
      <c r="C32" s="73">
        <v>0.60100000001490117</v>
      </c>
    </row>
    <row r="33" spans="1:5" ht="13" x14ac:dyDescent="0.25">
      <c r="B33" s="32" t="s">
        <v>129</v>
      </c>
      <c r="C33" s="74">
        <f>SUM(C29:C32)</f>
        <v>1.0000000000149012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22.1</v>
      </c>
    </row>
    <row r="38" spans="1:5" ht="15" customHeight="1" x14ac:dyDescent="0.25">
      <c r="B38" s="16" t="s">
        <v>91</v>
      </c>
      <c r="C38" s="75">
        <v>42.5</v>
      </c>
      <c r="D38" s="17"/>
      <c r="E38" s="18"/>
    </row>
    <row r="39" spans="1:5" ht="15" customHeight="1" x14ac:dyDescent="0.25">
      <c r="B39" s="16" t="s">
        <v>90</v>
      </c>
      <c r="C39" s="75">
        <v>61.2</v>
      </c>
      <c r="D39" s="17"/>
      <c r="E39" s="17"/>
    </row>
    <row r="40" spans="1:5" ht="15" customHeight="1" x14ac:dyDescent="0.25">
      <c r="B40" s="16" t="s">
        <v>171</v>
      </c>
      <c r="C40" s="75">
        <v>7.12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26.6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1.83E-2</v>
      </c>
      <c r="D45" s="17"/>
    </row>
    <row r="46" spans="1:5" ht="15.75" customHeight="1" x14ac:dyDescent="0.25">
      <c r="B46" s="16" t="s">
        <v>11</v>
      </c>
      <c r="C46" s="71">
        <v>9.5500000000000002E-2</v>
      </c>
      <c r="D46" s="17"/>
    </row>
    <row r="47" spans="1:5" ht="15.75" customHeight="1" x14ac:dyDescent="0.25">
      <c r="B47" s="16" t="s">
        <v>12</v>
      </c>
      <c r="C47" s="71">
        <v>0.21760000000000002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0.66859999999999997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3.2065194592574997</v>
      </c>
      <c r="D51" s="17"/>
    </row>
    <row r="52" spans="1:4" ht="15" customHeight="1" x14ac:dyDescent="0.25">
      <c r="B52" s="16" t="s">
        <v>125</v>
      </c>
      <c r="C52" s="76">
        <v>2.8785932612999998</v>
      </c>
    </row>
    <row r="53" spans="1:4" ht="15.75" customHeight="1" x14ac:dyDescent="0.25">
      <c r="B53" s="16" t="s">
        <v>126</v>
      </c>
      <c r="C53" s="76">
        <v>2.8785932612999998</v>
      </c>
    </row>
    <row r="54" spans="1:4" ht="15.75" customHeight="1" x14ac:dyDescent="0.25">
      <c r="B54" s="16" t="s">
        <v>127</v>
      </c>
      <c r="C54" s="76">
        <v>1.9519293523999999</v>
      </c>
    </row>
    <row r="55" spans="1:4" ht="15.75" customHeight="1" x14ac:dyDescent="0.25">
      <c r="B55" s="16" t="s">
        <v>128</v>
      </c>
      <c r="C55" s="76">
        <v>1.9519293523999999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0.53202225934114922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33.419328454162319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44.603258912802382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28.572744206474489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7.4814348689412974E-2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1.0470973389508305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1.0470973389508305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1.0470973389508305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1.0470973389508305</v>
      </c>
      <c r="E13" s="86" t="s">
        <v>202</v>
      </c>
    </row>
    <row r="14" spans="1:5" ht="15.75" customHeight="1" x14ac:dyDescent="0.25">
      <c r="A14" s="11" t="s">
        <v>187</v>
      </c>
      <c r="B14" s="85">
        <v>1.3999999999999999E-2</v>
      </c>
      <c r="C14" s="85">
        <v>0.95</v>
      </c>
      <c r="D14" s="86">
        <v>14.128320781922747</v>
      </c>
      <c r="E14" s="86" t="s">
        <v>202</v>
      </c>
    </row>
    <row r="15" spans="1:5" ht="15.75" customHeight="1" x14ac:dyDescent="0.25">
      <c r="A15" s="11" t="s">
        <v>209</v>
      </c>
      <c r="B15" s="85">
        <v>1.3999999999999999E-2</v>
      </c>
      <c r="C15" s="85">
        <v>0.95</v>
      </c>
      <c r="D15" s="86">
        <v>14.128320781922747</v>
      </c>
      <c r="E15" s="86" t="s">
        <v>202</v>
      </c>
    </row>
    <row r="16" spans="1:5" ht="15.75" customHeight="1" x14ac:dyDescent="0.25">
      <c r="A16" s="52" t="s">
        <v>57</v>
      </c>
      <c r="B16" s="85">
        <v>0.20699999999999999</v>
      </c>
      <c r="C16" s="85">
        <v>0.95</v>
      </c>
      <c r="D16" s="86">
        <v>0.18460691198241397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0.193</v>
      </c>
      <c r="C18" s="85">
        <v>0.95</v>
      </c>
      <c r="D18" s="87">
        <v>0.77483113726549069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0.77483113726549069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0.77483113726549069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0.73944140975850148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24.050195803135832</v>
      </c>
      <c r="E22" s="86" t="s">
        <v>202</v>
      </c>
    </row>
    <row r="23" spans="1:5" ht="15.75" customHeight="1" x14ac:dyDescent="0.25">
      <c r="A23" s="52" t="s">
        <v>34</v>
      </c>
      <c r="B23" s="85">
        <v>0.46799999999999997</v>
      </c>
      <c r="C23" s="85">
        <v>0.95</v>
      </c>
      <c r="D23" s="86">
        <v>4.6205668864219671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20.437528574582714</v>
      </c>
      <c r="E24" s="86" t="s">
        <v>202</v>
      </c>
    </row>
    <row r="25" spans="1:5" ht="15.75" customHeight="1" x14ac:dyDescent="0.25">
      <c r="A25" s="52" t="s">
        <v>87</v>
      </c>
      <c r="B25" s="85">
        <v>0.30299999999999999</v>
      </c>
      <c r="C25" s="85">
        <v>0.95</v>
      </c>
      <c r="D25" s="86">
        <v>20.435240886217798</v>
      </c>
      <c r="E25" s="86" t="s">
        <v>202</v>
      </c>
    </row>
    <row r="26" spans="1:5" ht="15.75" customHeight="1" x14ac:dyDescent="0.25">
      <c r="A26" s="52" t="s">
        <v>137</v>
      </c>
      <c r="B26" s="85">
        <v>1.3999999999999999E-2</v>
      </c>
      <c r="C26" s="85">
        <v>0.95</v>
      </c>
      <c r="D26" s="86">
        <v>4.5002354927602237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3.5672654361505591</v>
      </c>
      <c r="E27" s="86" t="s">
        <v>202</v>
      </c>
    </row>
    <row r="28" spans="1:5" ht="15.75" customHeight="1" x14ac:dyDescent="0.25">
      <c r="A28" s="52" t="s">
        <v>84</v>
      </c>
      <c r="B28" s="85">
        <v>0.35600000000000004</v>
      </c>
      <c r="C28" s="85">
        <v>0.95</v>
      </c>
      <c r="D28" s="86">
        <v>1.2867713385624713</v>
      </c>
      <c r="E28" s="86" t="s">
        <v>202</v>
      </c>
    </row>
    <row r="29" spans="1:5" ht="15.75" customHeight="1" x14ac:dyDescent="0.25">
      <c r="A29" s="52" t="s">
        <v>58</v>
      </c>
      <c r="B29" s="85">
        <v>0.193</v>
      </c>
      <c r="C29" s="85">
        <v>0.95</v>
      </c>
      <c r="D29" s="86">
        <v>57.479211577278647</v>
      </c>
      <c r="E29" s="86" t="s">
        <v>202</v>
      </c>
    </row>
    <row r="30" spans="1:5" ht="15.75" customHeight="1" x14ac:dyDescent="0.25">
      <c r="A30" s="52" t="s">
        <v>67</v>
      </c>
      <c r="B30" s="85">
        <v>6.9000000000000006E-2</v>
      </c>
      <c r="C30" s="85">
        <v>0.95</v>
      </c>
      <c r="D30" s="86">
        <v>0.64873348086651084</v>
      </c>
      <c r="E30" s="86" t="s">
        <v>202</v>
      </c>
    </row>
    <row r="31" spans="1:5" ht="15.75" customHeight="1" x14ac:dyDescent="0.25">
      <c r="A31" s="52" t="s">
        <v>28</v>
      </c>
      <c r="B31" s="85">
        <v>0.878</v>
      </c>
      <c r="C31" s="85">
        <v>0.95</v>
      </c>
      <c r="D31" s="86">
        <v>0.33149430053697698</v>
      </c>
      <c r="E31" s="86" t="s">
        <v>202</v>
      </c>
    </row>
    <row r="32" spans="1:5" ht="15.75" customHeight="1" x14ac:dyDescent="0.25">
      <c r="A32" s="52" t="s">
        <v>83</v>
      </c>
      <c r="B32" s="85">
        <v>5.7999999999999996E-2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0.73699999999999999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0.48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0.75900000000000001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7.0000000000000007E-2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0.15</v>
      </c>
      <c r="C37" s="85">
        <v>0.95</v>
      </c>
      <c r="D37" s="86">
        <v>4.0178537055808334</v>
      </c>
      <c r="E37" s="86" t="s">
        <v>202</v>
      </c>
    </row>
    <row r="38" spans="1:6" ht="15.75" customHeight="1" x14ac:dyDescent="0.25">
      <c r="A38" s="52" t="s">
        <v>60</v>
      </c>
      <c r="B38" s="85">
        <v>0.15</v>
      </c>
      <c r="C38" s="85">
        <v>0.95</v>
      </c>
      <c r="D38" s="86">
        <v>0.35545224068304032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3.2065194592574997</v>
      </c>
      <c r="C2" s="26">
        <f>'Baseline year population inputs'!C52</f>
        <v>2.8785932612999998</v>
      </c>
      <c r="D2" s="26">
        <f>'Baseline year population inputs'!C53</f>
        <v>2.8785932612999998</v>
      </c>
      <c r="E2" s="26">
        <f>'Baseline year population inputs'!C54</f>
        <v>1.9519293523999999</v>
      </c>
      <c r="F2" s="26">
        <f>'Baseline year population inputs'!C55</f>
        <v>1.9519293523999999</v>
      </c>
    </row>
    <row r="3" spans="1:6" ht="15.75" customHeight="1" x14ac:dyDescent="0.25">
      <c r="A3" s="3" t="s">
        <v>65</v>
      </c>
      <c r="B3" s="26">
        <f>frac_mam_1month * 2.6</f>
        <v>8.5821213140000005E-2</v>
      </c>
      <c r="C3" s="26">
        <f>frac_mam_1_5months * 2.6</f>
        <v>8.5821213140000005E-2</v>
      </c>
      <c r="D3" s="26">
        <f>frac_mam_6_11months * 2.6</f>
        <v>0.20807134400000002</v>
      </c>
      <c r="E3" s="26">
        <f>frac_mam_12_23months * 2.6</f>
        <v>0.18656011893999999</v>
      </c>
      <c r="F3" s="26">
        <f>frac_mam_24_59months * 2.6</f>
        <v>6.7815812046666674E-2</v>
      </c>
    </row>
    <row r="4" spans="1:6" ht="15.75" customHeight="1" x14ac:dyDescent="0.25">
      <c r="A4" s="3" t="s">
        <v>66</v>
      </c>
      <c r="B4" s="26">
        <f>frac_sam_1month * 2.6</f>
        <v>2.3422061260000002E-2</v>
      </c>
      <c r="C4" s="26">
        <f>frac_sam_1_5months * 2.6</f>
        <v>2.3422061260000002E-2</v>
      </c>
      <c r="D4" s="26">
        <f>frac_sam_6_11months * 2.6</f>
        <v>5.2697580000000001E-2</v>
      </c>
      <c r="E4" s="26">
        <f>frac_sam_12_23months * 2.6</f>
        <v>2.2112979459999998E-2</v>
      </c>
      <c r="F4" s="26">
        <f>frac_sam_24_59months * 2.6</f>
        <v>1.9172293486666665E-2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453723.46393500001</v>
      </c>
      <c r="C2" s="78">
        <v>548287</v>
      </c>
      <c r="D2" s="78">
        <v>988504</v>
      </c>
      <c r="E2" s="78">
        <v>651415</v>
      </c>
      <c r="F2" s="78">
        <v>359660</v>
      </c>
      <c r="G2" s="22">
        <f t="shared" ref="G2:G40" si="0">C2+D2+E2+F2</f>
        <v>2547866</v>
      </c>
      <c r="H2" s="22">
        <f t="shared" ref="H2:H40" si="1">(B2 + stillbirth*B2/(1000-stillbirth))/(1-abortion)</f>
        <v>535772.77883068949</v>
      </c>
      <c r="I2" s="22">
        <f>G2-H2</f>
        <v>2012093.2211693106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461646.82133333333</v>
      </c>
      <c r="C3" s="78">
        <v>562000</v>
      </c>
      <c r="D3" s="78">
        <v>1000000</v>
      </c>
      <c r="E3" s="78">
        <v>692000</v>
      </c>
      <c r="F3" s="78">
        <v>369000</v>
      </c>
      <c r="G3" s="22">
        <f t="shared" si="0"/>
        <v>2623000</v>
      </c>
      <c r="H3" s="22">
        <f t="shared" si="1"/>
        <v>545128.96062071016</v>
      </c>
      <c r="I3" s="22">
        <f t="shared" ref="I3:I15" si="3">G3-H3</f>
        <v>2077871.0393792898</v>
      </c>
    </row>
    <row r="4" spans="1:9" ht="15.75" customHeight="1" x14ac:dyDescent="0.25">
      <c r="A4" s="7">
        <f t="shared" si="2"/>
        <v>2019</v>
      </c>
      <c r="B4" s="77">
        <v>469480.11466666666</v>
      </c>
      <c r="C4" s="78">
        <v>578000</v>
      </c>
      <c r="D4" s="78">
        <v>1011000</v>
      </c>
      <c r="E4" s="78">
        <v>732000</v>
      </c>
      <c r="F4" s="78">
        <v>383000</v>
      </c>
      <c r="G4" s="22">
        <f t="shared" si="0"/>
        <v>2704000</v>
      </c>
      <c r="H4" s="22">
        <f t="shared" si="1"/>
        <v>554378.79156442604</v>
      </c>
      <c r="I4" s="22">
        <f t="shared" si="3"/>
        <v>2149621.2084355741</v>
      </c>
    </row>
    <row r="5" spans="1:9" ht="15.75" customHeight="1" x14ac:dyDescent="0.25">
      <c r="A5" s="7">
        <f t="shared" si="2"/>
        <v>2020</v>
      </c>
      <c r="B5" s="77">
        <v>476998.86700000009</v>
      </c>
      <c r="C5" s="78">
        <v>598000</v>
      </c>
      <c r="D5" s="78">
        <v>1023000</v>
      </c>
      <c r="E5" s="78">
        <v>769000</v>
      </c>
      <c r="F5" s="78">
        <v>400000</v>
      </c>
      <c r="G5" s="22">
        <f t="shared" si="0"/>
        <v>2790000</v>
      </c>
      <c r="H5" s="22">
        <f t="shared" si="1"/>
        <v>563257.20132536988</v>
      </c>
      <c r="I5" s="22">
        <f t="shared" si="3"/>
        <v>2226742.79867463</v>
      </c>
    </row>
    <row r="6" spans="1:9" ht="15.75" customHeight="1" x14ac:dyDescent="0.25">
      <c r="A6" s="7">
        <f t="shared" si="2"/>
        <v>2021</v>
      </c>
      <c r="B6" s="77">
        <v>483209.96700000006</v>
      </c>
      <c r="C6" s="78">
        <v>622000</v>
      </c>
      <c r="D6" s="78">
        <v>1035000</v>
      </c>
      <c r="E6" s="78">
        <v>804000</v>
      </c>
      <c r="F6" s="78">
        <v>421000</v>
      </c>
      <c r="G6" s="22">
        <f t="shared" si="0"/>
        <v>2882000</v>
      </c>
      <c r="H6" s="22">
        <f t="shared" si="1"/>
        <v>570591.48877379682</v>
      </c>
      <c r="I6" s="22">
        <f t="shared" si="3"/>
        <v>2311408.5112262033</v>
      </c>
    </row>
    <row r="7" spans="1:9" ht="15.75" customHeight="1" x14ac:dyDescent="0.25">
      <c r="A7" s="7">
        <f t="shared" si="2"/>
        <v>2022</v>
      </c>
      <c r="B7" s="77">
        <v>489075.01500000007</v>
      </c>
      <c r="C7" s="78">
        <v>649000</v>
      </c>
      <c r="D7" s="78">
        <v>1047000</v>
      </c>
      <c r="E7" s="78">
        <v>838000</v>
      </c>
      <c r="F7" s="78">
        <v>447000</v>
      </c>
      <c r="G7" s="22">
        <f t="shared" si="0"/>
        <v>2981000</v>
      </c>
      <c r="H7" s="22">
        <f t="shared" si="1"/>
        <v>577517.14573163399</v>
      </c>
      <c r="I7" s="22">
        <f t="shared" si="3"/>
        <v>2403482.854268366</v>
      </c>
    </row>
    <row r="8" spans="1:9" ht="15.75" customHeight="1" x14ac:dyDescent="0.25">
      <c r="A8" s="7">
        <f t="shared" si="2"/>
        <v>2023</v>
      </c>
      <c r="B8" s="77">
        <v>494585.80780000007</v>
      </c>
      <c r="C8" s="78">
        <v>678000</v>
      </c>
      <c r="D8" s="78">
        <v>1063000</v>
      </c>
      <c r="E8" s="78">
        <v>869000</v>
      </c>
      <c r="F8" s="78">
        <v>475000</v>
      </c>
      <c r="G8" s="22">
        <f t="shared" si="0"/>
        <v>3085000</v>
      </c>
      <c r="H8" s="22">
        <f t="shared" si="1"/>
        <v>584024.48556900932</v>
      </c>
      <c r="I8" s="22">
        <f t="shared" si="3"/>
        <v>2500975.5144309904</v>
      </c>
    </row>
    <row r="9" spans="1:9" ht="15.75" customHeight="1" x14ac:dyDescent="0.25">
      <c r="A9" s="7">
        <f t="shared" si="2"/>
        <v>2024</v>
      </c>
      <c r="B9" s="77">
        <v>499734.14220000012</v>
      </c>
      <c r="C9" s="78">
        <v>708000</v>
      </c>
      <c r="D9" s="78">
        <v>1083000</v>
      </c>
      <c r="E9" s="78">
        <v>895000</v>
      </c>
      <c r="F9" s="78">
        <v>507000</v>
      </c>
      <c r="G9" s="22">
        <f t="shared" si="0"/>
        <v>3193000</v>
      </c>
      <c r="H9" s="22">
        <f t="shared" si="1"/>
        <v>590103.82165605109</v>
      </c>
      <c r="I9" s="22">
        <f t="shared" si="3"/>
        <v>2602896.1783439489</v>
      </c>
    </row>
    <row r="10" spans="1:9" ht="15.75" customHeight="1" x14ac:dyDescent="0.25">
      <c r="A10" s="7">
        <f t="shared" si="2"/>
        <v>2025</v>
      </c>
      <c r="B10" s="77">
        <v>504548.34999999992</v>
      </c>
      <c r="C10" s="78">
        <v>738000</v>
      </c>
      <c r="D10" s="78">
        <v>1109000</v>
      </c>
      <c r="E10" s="78">
        <v>919000</v>
      </c>
      <c r="F10" s="78">
        <v>540000</v>
      </c>
      <c r="G10" s="22">
        <f t="shared" si="0"/>
        <v>3306000</v>
      </c>
      <c r="H10" s="22">
        <f t="shared" si="1"/>
        <v>595788.6091883172</v>
      </c>
      <c r="I10" s="22">
        <f t="shared" si="3"/>
        <v>2710211.3908116827</v>
      </c>
    </row>
    <row r="11" spans="1:9" ht="15.75" customHeight="1" x14ac:dyDescent="0.25">
      <c r="A11" s="7">
        <f t="shared" si="2"/>
        <v>2026</v>
      </c>
      <c r="B11" s="77">
        <v>511594.57379999995</v>
      </c>
      <c r="C11" s="78">
        <v>766000</v>
      </c>
      <c r="D11" s="78">
        <v>1140000</v>
      </c>
      <c r="E11" s="78">
        <v>937000</v>
      </c>
      <c r="F11" s="78">
        <v>577000</v>
      </c>
      <c r="G11" s="22">
        <f t="shared" si="0"/>
        <v>3420000</v>
      </c>
      <c r="H11" s="22">
        <f t="shared" si="1"/>
        <v>604109.04047667969</v>
      </c>
      <c r="I11" s="22">
        <f t="shared" si="3"/>
        <v>2815890.9595233202</v>
      </c>
    </row>
    <row r="12" spans="1:9" ht="15.75" customHeight="1" x14ac:dyDescent="0.25">
      <c r="A12" s="7">
        <f t="shared" si="2"/>
        <v>2027</v>
      </c>
      <c r="B12" s="77">
        <v>518431.78619999991</v>
      </c>
      <c r="C12" s="78">
        <v>793000</v>
      </c>
      <c r="D12" s="78">
        <v>1177000</v>
      </c>
      <c r="E12" s="78">
        <v>951000</v>
      </c>
      <c r="F12" s="78">
        <v>614000</v>
      </c>
      <c r="G12" s="22">
        <f t="shared" si="0"/>
        <v>3535000</v>
      </c>
      <c r="H12" s="22">
        <f t="shared" si="1"/>
        <v>612182.66368151444</v>
      </c>
      <c r="I12" s="22">
        <f t="shared" si="3"/>
        <v>2922817.3363184854</v>
      </c>
    </row>
    <row r="13" spans="1:9" ht="15.75" customHeight="1" x14ac:dyDescent="0.25">
      <c r="A13" s="7">
        <f t="shared" si="2"/>
        <v>2028</v>
      </c>
      <c r="B13" s="77">
        <v>525052.49319999991</v>
      </c>
      <c r="C13" s="78">
        <v>820000</v>
      </c>
      <c r="D13" s="78">
        <v>1219000</v>
      </c>
      <c r="E13" s="78">
        <v>962000</v>
      </c>
      <c r="F13" s="78">
        <v>653000</v>
      </c>
      <c r="G13" s="22">
        <f t="shared" si="0"/>
        <v>3654000</v>
      </c>
      <c r="H13" s="22">
        <f t="shared" si="1"/>
        <v>620000.62962149491</v>
      </c>
      <c r="I13" s="22">
        <f t="shared" si="3"/>
        <v>3033999.370378505</v>
      </c>
    </row>
    <row r="14" spans="1:9" ht="15.75" customHeight="1" x14ac:dyDescent="0.25">
      <c r="A14" s="7">
        <f t="shared" si="2"/>
        <v>2029</v>
      </c>
      <c r="B14" s="77">
        <v>531483.73739999987</v>
      </c>
      <c r="C14" s="78">
        <v>846000</v>
      </c>
      <c r="D14" s="78">
        <v>1265000</v>
      </c>
      <c r="E14" s="78">
        <v>974000</v>
      </c>
      <c r="F14" s="78">
        <v>690000</v>
      </c>
      <c r="G14" s="22">
        <f t="shared" si="0"/>
        <v>3775000</v>
      </c>
      <c r="H14" s="22">
        <f t="shared" si="1"/>
        <v>627594.87115903723</v>
      </c>
      <c r="I14" s="22">
        <f t="shared" si="3"/>
        <v>3147405.1288409629</v>
      </c>
    </row>
    <row r="15" spans="1:9" ht="15.75" customHeight="1" x14ac:dyDescent="0.25">
      <c r="A15" s="7">
        <f t="shared" si="2"/>
        <v>2030</v>
      </c>
      <c r="B15" s="77">
        <v>537750.56299999997</v>
      </c>
      <c r="C15" s="78">
        <v>872000</v>
      </c>
      <c r="D15" s="78">
        <v>1314000</v>
      </c>
      <c r="E15" s="78">
        <v>986000</v>
      </c>
      <c r="F15" s="78">
        <v>727000</v>
      </c>
      <c r="G15" s="22">
        <f t="shared" si="0"/>
        <v>3899000</v>
      </c>
      <c r="H15" s="22">
        <f t="shared" si="1"/>
        <v>634994.96137487027</v>
      </c>
      <c r="I15" s="22">
        <f t="shared" si="3"/>
        <v>3264005.0386251295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129.89190631723383</v>
      </c>
      <c r="I17" s="22">
        <f t="shared" si="4"/>
        <v>-129.89190631723383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4.6703056E-2</v>
      </c>
    </row>
    <row r="4" spans="1:8" ht="15.75" customHeight="1" x14ac:dyDescent="0.25">
      <c r="B4" s="24" t="s">
        <v>7</v>
      </c>
      <c r="C4" s="79">
        <v>0.15545655078098974</v>
      </c>
    </row>
    <row r="5" spans="1:8" ht="15.75" customHeight="1" x14ac:dyDescent="0.25">
      <c r="B5" s="24" t="s">
        <v>8</v>
      </c>
      <c r="C5" s="79">
        <v>0.12594129541135998</v>
      </c>
    </row>
    <row r="6" spans="1:8" ht="15.75" customHeight="1" x14ac:dyDescent="0.25">
      <c r="B6" s="24" t="s">
        <v>10</v>
      </c>
      <c r="C6" s="79">
        <v>0.13820714128269965</v>
      </c>
    </row>
    <row r="7" spans="1:8" ht="15.75" customHeight="1" x14ac:dyDescent="0.25">
      <c r="B7" s="24" t="s">
        <v>13</v>
      </c>
      <c r="C7" s="79">
        <v>0.12732644921259728</v>
      </c>
    </row>
    <row r="8" spans="1:8" ht="15.75" customHeight="1" x14ac:dyDescent="0.25">
      <c r="B8" s="24" t="s">
        <v>14</v>
      </c>
      <c r="C8" s="79">
        <v>9.3186718860535107E-3</v>
      </c>
    </row>
    <row r="9" spans="1:8" ht="15.75" customHeight="1" x14ac:dyDescent="0.25">
      <c r="B9" s="24" t="s">
        <v>27</v>
      </c>
      <c r="C9" s="79">
        <v>0.12896196605511975</v>
      </c>
    </row>
    <row r="10" spans="1:8" ht="15.75" customHeight="1" x14ac:dyDescent="0.25">
      <c r="B10" s="24" t="s">
        <v>15</v>
      </c>
      <c r="C10" s="79">
        <v>0.26808486937118003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0.137242685554747</v>
      </c>
      <c r="D14" s="79">
        <v>0.137242685554747</v>
      </c>
      <c r="E14" s="79">
        <v>0.137754589788671</v>
      </c>
      <c r="F14" s="79">
        <v>0.137754589788671</v>
      </c>
    </row>
    <row r="15" spans="1:8" ht="15.75" customHeight="1" x14ac:dyDescent="0.25">
      <c r="B15" s="24" t="s">
        <v>16</v>
      </c>
      <c r="C15" s="79">
        <v>0.19103791856042501</v>
      </c>
      <c r="D15" s="79">
        <v>0.19103791856042501</v>
      </c>
      <c r="E15" s="79">
        <v>0.119939086832448</v>
      </c>
      <c r="F15" s="79">
        <v>0.119939086832448</v>
      </c>
    </row>
    <row r="16" spans="1:8" ht="15.75" customHeight="1" x14ac:dyDescent="0.25">
      <c r="B16" s="24" t="s">
        <v>17</v>
      </c>
      <c r="C16" s="79">
        <v>3.4037455572308098E-2</v>
      </c>
      <c r="D16" s="79">
        <v>3.4037455572308098E-2</v>
      </c>
      <c r="E16" s="79">
        <v>3.0253236531693498E-2</v>
      </c>
      <c r="F16" s="79">
        <v>3.0253236531693498E-2</v>
      </c>
    </row>
    <row r="17" spans="1:8" ht="15.75" customHeight="1" x14ac:dyDescent="0.25">
      <c r="B17" s="24" t="s">
        <v>18</v>
      </c>
      <c r="C17" s="79">
        <v>2.7514646774903298E-2</v>
      </c>
      <c r="D17" s="79">
        <v>2.7514646774903298E-2</v>
      </c>
      <c r="E17" s="79">
        <v>6.4034894057917097E-2</v>
      </c>
      <c r="F17" s="79">
        <v>6.4034894057917097E-2</v>
      </c>
    </row>
    <row r="18" spans="1:8" ht="15.75" customHeight="1" x14ac:dyDescent="0.25">
      <c r="B18" s="24" t="s">
        <v>19</v>
      </c>
      <c r="C18" s="79">
        <v>0.20245044742152596</v>
      </c>
      <c r="D18" s="79">
        <v>0.20245044742152596</v>
      </c>
      <c r="E18" s="79">
        <v>0.24157411027095199</v>
      </c>
      <c r="F18" s="79">
        <v>0.24157411027095199</v>
      </c>
    </row>
    <row r="19" spans="1:8" ht="15.75" customHeight="1" x14ac:dyDescent="0.25">
      <c r="B19" s="24" t="s">
        <v>20</v>
      </c>
      <c r="C19" s="79">
        <v>1.8317800280753999E-2</v>
      </c>
      <c r="D19" s="79">
        <v>1.8317800280753999E-2</v>
      </c>
      <c r="E19" s="79">
        <v>1.8205214976827099E-2</v>
      </c>
      <c r="F19" s="79">
        <v>1.8205214976827099E-2</v>
      </c>
    </row>
    <row r="20" spans="1:8" ht="15.75" customHeight="1" x14ac:dyDescent="0.25">
      <c r="B20" s="24" t="s">
        <v>21</v>
      </c>
      <c r="C20" s="79">
        <v>1.05653743272027E-2</v>
      </c>
      <c r="D20" s="79">
        <v>1.05653743272027E-2</v>
      </c>
      <c r="E20" s="79">
        <v>5.6560342578067004E-3</v>
      </c>
      <c r="F20" s="79">
        <v>5.6560342578067004E-3</v>
      </c>
    </row>
    <row r="21" spans="1:8" ht="15.75" customHeight="1" x14ac:dyDescent="0.25">
      <c r="B21" s="24" t="s">
        <v>22</v>
      </c>
      <c r="C21" s="79">
        <v>2.3838108723356698E-2</v>
      </c>
      <c r="D21" s="79">
        <v>2.3838108723356698E-2</v>
      </c>
      <c r="E21" s="79">
        <v>6.2575476106019101E-2</v>
      </c>
      <c r="F21" s="79">
        <v>6.2575476106019101E-2</v>
      </c>
    </row>
    <row r="22" spans="1:8" ht="15.75" customHeight="1" x14ac:dyDescent="0.25">
      <c r="B22" s="24" t="s">
        <v>23</v>
      </c>
      <c r="C22" s="79">
        <v>0.35499556278477729</v>
      </c>
      <c r="D22" s="79">
        <v>0.35499556278477729</v>
      </c>
      <c r="E22" s="79">
        <v>0.32000735717766549</v>
      </c>
      <c r="F22" s="79">
        <v>0.32000735717766549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8.6099999999999996E-2</v>
      </c>
    </row>
    <row r="27" spans="1:8" ht="15.75" customHeight="1" x14ac:dyDescent="0.25">
      <c r="B27" s="24" t="s">
        <v>39</v>
      </c>
      <c r="C27" s="79">
        <v>8.5000000000000006E-3</v>
      </c>
    </row>
    <row r="28" spans="1:8" ht="15.75" customHeight="1" x14ac:dyDescent="0.25">
      <c r="B28" s="24" t="s">
        <v>40</v>
      </c>
      <c r="C28" s="79">
        <v>0.15529999999999999</v>
      </c>
    </row>
    <row r="29" spans="1:8" ht="15.75" customHeight="1" x14ac:dyDescent="0.25">
      <c r="B29" s="24" t="s">
        <v>41</v>
      </c>
      <c r="C29" s="79">
        <v>0.16739999999999999</v>
      </c>
    </row>
    <row r="30" spans="1:8" ht="15.75" customHeight="1" x14ac:dyDescent="0.25">
      <c r="B30" s="24" t="s">
        <v>42</v>
      </c>
      <c r="C30" s="79">
        <v>0.1041</v>
      </c>
    </row>
    <row r="31" spans="1:8" ht="15.75" customHeight="1" x14ac:dyDescent="0.25">
      <c r="B31" s="24" t="s">
        <v>43</v>
      </c>
      <c r="C31" s="79">
        <v>0.1085</v>
      </c>
    </row>
    <row r="32" spans="1:8" ht="15.75" customHeight="1" x14ac:dyDescent="0.25">
      <c r="B32" s="24" t="s">
        <v>44</v>
      </c>
      <c r="C32" s="79">
        <v>1.8700000000000001E-2</v>
      </c>
    </row>
    <row r="33" spans="2:3" ht="15.75" customHeight="1" x14ac:dyDescent="0.25">
      <c r="B33" s="24" t="s">
        <v>45</v>
      </c>
      <c r="C33" s="79">
        <v>8.43E-2</v>
      </c>
    </row>
    <row r="34" spans="2:3" ht="15.75" customHeight="1" x14ac:dyDescent="0.25">
      <c r="B34" s="24" t="s">
        <v>46</v>
      </c>
      <c r="C34" s="79">
        <v>0.2671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0.41929024653714425</v>
      </c>
      <c r="D2" s="80">
        <v>0.41929024653714425</v>
      </c>
      <c r="E2" s="80">
        <v>0.26606378229061206</v>
      </c>
      <c r="F2" s="80">
        <v>0.13329396847775674</v>
      </c>
      <c r="G2" s="80">
        <v>0.10767125787488001</v>
      </c>
    </row>
    <row r="3" spans="1:15" ht="15.75" customHeight="1" x14ac:dyDescent="0.25">
      <c r="A3" s="5"/>
      <c r="B3" s="11" t="s">
        <v>118</v>
      </c>
      <c r="C3" s="80">
        <v>0.33059423284659439</v>
      </c>
      <c r="D3" s="80">
        <v>0.33059423284659439</v>
      </c>
      <c r="E3" s="80">
        <v>0.33086160380788288</v>
      </c>
      <c r="F3" s="80">
        <v>0.27729037238073478</v>
      </c>
      <c r="G3" s="80">
        <v>0.23282759181491147</v>
      </c>
    </row>
    <row r="4" spans="1:15" ht="15.75" customHeight="1" x14ac:dyDescent="0.25">
      <c r="A4" s="5"/>
      <c r="B4" s="11" t="s">
        <v>116</v>
      </c>
      <c r="C4" s="81">
        <v>0.18634104524000353</v>
      </c>
      <c r="D4" s="81">
        <v>0.18634104524000353</v>
      </c>
      <c r="E4" s="81">
        <v>0.27452918697123513</v>
      </c>
      <c r="F4" s="81">
        <v>0.35225432883604946</v>
      </c>
      <c r="G4" s="81">
        <v>0.35225432883604946</v>
      </c>
    </row>
    <row r="5" spans="1:15" ht="15.75" customHeight="1" x14ac:dyDescent="0.25">
      <c r="A5" s="5"/>
      <c r="B5" s="11" t="s">
        <v>119</v>
      </c>
      <c r="C5" s="81">
        <v>6.3774475376257883E-2</v>
      </c>
      <c r="D5" s="81">
        <v>6.3774475376257883E-2</v>
      </c>
      <c r="E5" s="81">
        <v>0.1285454269302698</v>
      </c>
      <c r="F5" s="81">
        <v>0.23716133030545905</v>
      </c>
      <c r="G5" s="81">
        <v>0.30724682147415905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0.84334434877835596</v>
      </c>
      <c r="D8" s="80">
        <v>0.84334434877835596</v>
      </c>
      <c r="E8" s="80">
        <v>0.65369137640624986</v>
      </c>
      <c r="F8" s="80">
        <v>0.67807189768078169</v>
      </c>
      <c r="G8" s="80">
        <v>0.80245084382953769</v>
      </c>
    </row>
    <row r="9" spans="1:15" ht="15.75" customHeight="1" x14ac:dyDescent="0.25">
      <c r="B9" s="7" t="s">
        <v>121</v>
      </c>
      <c r="C9" s="80">
        <v>0.11463900722164413</v>
      </c>
      <c r="D9" s="80">
        <v>0.11463900722164413</v>
      </c>
      <c r="E9" s="80">
        <v>0.24601288359375001</v>
      </c>
      <c r="F9" s="80">
        <v>0.24166921831921823</v>
      </c>
      <c r="G9" s="80">
        <v>0.1640921925037957</v>
      </c>
    </row>
    <row r="10" spans="1:15" ht="15.75" customHeight="1" x14ac:dyDescent="0.25">
      <c r="B10" s="7" t="s">
        <v>122</v>
      </c>
      <c r="C10" s="81">
        <v>3.3008158900000001E-2</v>
      </c>
      <c r="D10" s="81">
        <v>3.3008158900000001E-2</v>
      </c>
      <c r="E10" s="81">
        <v>8.0027440000000005E-2</v>
      </c>
      <c r="F10" s="81">
        <v>7.1753891899999991E-2</v>
      </c>
      <c r="G10" s="81">
        <v>2.6083004633333334E-2</v>
      </c>
    </row>
    <row r="11" spans="1:15" ht="15.75" customHeight="1" x14ac:dyDescent="0.25">
      <c r="B11" s="7" t="s">
        <v>123</v>
      </c>
      <c r="C11" s="81">
        <v>9.0084850999999997E-3</v>
      </c>
      <c r="D11" s="81">
        <v>9.0084850999999997E-3</v>
      </c>
      <c r="E11" s="81">
        <v>2.02683E-2</v>
      </c>
      <c r="F11" s="81">
        <v>8.504992099999999E-3</v>
      </c>
      <c r="G11" s="81">
        <v>7.3739590333333329E-3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0.85983660949999996</v>
      </c>
      <c r="D14" s="82">
        <v>0.842952287568</v>
      </c>
      <c r="E14" s="82">
        <v>0.842952287568</v>
      </c>
      <c r="F14" s="82">
        <v>0.53347847495900003</v>
      </c>
      <c r="G14" s="82">
        <v>0.53347847495900003</v>
      </c>
      <c r="H14" s="83">
        <v>0.68700000000000006</v>
      </c>
      <c r="I14" s="83">
        <v>0.42751145038167931</v>
      </c>
      <c r="J14" s="83">
        <v>0.46561832061068709</v>
      </c>
      <c r="K14" s="83">
        <v>0.47038167938931297</v>
      </c>
      <c r="L14" s="83">
        <v>0.243958262106</v>
      </c>
      <c r="M14" s="83">
        <v>0.17325759951600003</v>
      </c>
      <c r="N14" s="83">
        <v>0.19884318493350001</v>
      </c>
      <c r="O14" s="83">
        <v>0.24034210626749999</v>
      </c>
    </row>
    <row r="15" spans="1:15" ht="15.75" customHeight="1" x14ac:dyDescent="0.25">
      <c r="B15" s="16" t="s">
        <v>68</v>
      </c>
      <c r="C15" s="80">
        <f>iron_deficiency_anaemia*C14</f>
        <v>0.45745221565042343</v>
      </c>
      <c r="D15" s="80">
        <f t="shared" ref="D15:O15" si="0">iron_deficiency_anaemia*D14</f>
        <v>0.44846938054871749</v>
      </c>
      <c r="E15" s="80">
        <f t="shared" si="0"/>
        <v>0.44846938054871749</v>
      </c>
      <c r="F15" s="80">
        <f t="shared" si="0"/>
        <v>0.28382242355755788</v>
      </c>
      <c r="G15" s="80">
        <f t="shared" si="0"/>
        <v>0.28382242355755788</v>
      </c>
      <c r="H15" s="80">
        <f t="shared" si="0"/>
        <v>0.36549929216736954</v>
      </c>
      <c r="I15" s="80">
        <f t="shared" si="0"/>
        <v>0.22744560772627265</v>
      </c>
      <c r="J15" s="80">
        <f t="shared" si="0"/>
        <v>0.24771931092192934</v>
      </c>
      <c r="K15" s="80">
        <f t="shared" si="0"/>
        <v>0.25025352382138638</v>
      </c>
      <c r="L15" s="80">
        <f t="shared" si="0"/>
        <v>0.12979122579057439</v>
      </c>
      <c r="M15" s="80">
        <f t="shared" si="0"/>
        <v>9.2176899542526336E-2</v>
      </c>
      <c r="N15" s="80">
        <f t="shared" si="0"/>
        <v>0.10578900050291064</v>
      </c>
      <c r="O15" s="80">
        <f t="shared" si="0"/>
        <v>0.12786735039124592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0.82799999999999996</v>
      </c>
      <c r="D2" s="81">
        <v>0.82799999999999996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8.0000000000000002E-3</v>
      </c>
      <c r="D3" s="81">
        <v>7.9000000000000001E-2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7.5999999999999998E-2</v>
      </c>
      <c r="D4" s="81">
        <v>7.5999999999999998E-2</v>
      </c>
      <c r="E4" s="81">
        <v>0.90399999999999991</v>
      </c>
      <c r="F4" s="81">
        <v>0.9325</v>
      </c>
      <c r="G4" s="81">
        <v>0</v>
      </c>
    </row>
    <row r="5" spans="1:7" x14ac:dyDescent="0.25">
      <c r="B5" s="43" t="s">
        <v>169</v>
      </c>
      <c r="C5" s="80">
        <f>1-SUM(C2:C4)</f>
        <v>8.8000000000000078E-2</v>
      </c>
      <c r="D5" s="80">
        <f>1-SUM(D2:D4)</f>
        <v>1.7000000000000126E-2</v>
      </c>
      <c r="E5" s="80">
        <f>1-SUM(E2:E4)</f>
        <v>9.6000000000000085E-2</v>
      </c>
      <c r="F5" s="80">
        <f>1-SUM(F2:F4)</f>
        <v>6.7500000000000004E-2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0.54162999999999994</v>
      </c>
      <c r="D2" s="144">
        <v>0.54017000000000004</v>
      </c>
      <c r="E2" s="144">
        <v>0.53862999999999994</v>
      </c>
      <c r="F2" s="144">
        <v>0.53703000000000001</v>
      </c>
      <c r="G2" s="144">
        <v>0.53500999999999999</v>
      </c>
      <c r="H2" s="144">
        <v>0.53353000000000006</v>
      </c>
      <c r="I2" s="144">
        <v>0.53205000000000002</v>
      </c>
      <c r="J2" s="144">
        <v>0.53061000000000003</v>
      </c>
      <c r="K2" s="144">
        <v>0.52915999999999996</v>
      </c>
      <c r="L2" s="144">
        <v>0.52773000000000003</v>
      </c>
      <c r="M2" s="144">
        <v>0.52627999999999997</v>
      </c>
      <c r="N2" s="144">
        <v>0.52483999999999997</v>
      </c>
      <c r="O2" s="144">
        <v>0.52337999999999996</v>
      </c>
      <c r="P2" s="144">
        <v>0.52194000000000007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7.3440000000000005E-2</v>
      </c>
      <c r="D4" s="144">
        <v>7.2700000000000001E-2</v>
      </c>
      <c r="E4" s="144">
        <v>7.1989999999999998E-2</v>
      </c>
      <c r="F4" s="144">
        <v>7.1309999999999998E-2</v>
      </c>
      <c r="G4" s="144">
        <v>7.0730000000000001E-2</v>
      </c>
      <c r="H4" s="144">
        <v>7.0059999999999997E-2</v>
      </c>
      <c r="I4" s="144">
        <v>6.9390000000000007E-2</v>
      </c>
      <c r="J4" s="144">
        <v>6.8729999999999999E-2</v>
      </c>
      <c r="K4" s="144">
        <v>6.8089999999999998E-2</v>
      </c>
      <c r="L4" s="144">
        <v>6.7460000000000006E-2</v>
      </c>
      <c r="M4" s="144">
        <v>6.6849999999999993E-2</v>
      </c>
      <c r="N4" s="144">
        <v>6.6250000000000003E-2</v>
      </c>
      <c r="O4" s="144">
        <v>6.5670000000000006E-2</v>
      </c>
      <c r="P4" s="144">
        <v>6.5110000000000001E-2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0.31690152887415157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0.25947659672950657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0.1116368180948486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0.82799999999999996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0.92300000000000004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80.649000000000001</v>
      </c>
      <c r="D13" s="143">
        <v>78.090999999999994</v>
      </c>
      <c r="E13" s="143">
        <v>75.403000000000006</v>
      </c>
      <c r="F13" s="143">
        <v>73.747</v>
      </c>
      <c r="G13" s="143">
        <v>71.049000000000007</v>
      </c>
      <c r="H13" s="143">
        <v>68.688000000000002</v>
      </c>
      <c r="I13" s="143">
        <v>66.385999999999996</v>
      </c>
      <c r="J13" s="143">
        <v>64.575000000000003</v>
      </c>
      <c r="K13" s="143">
        <v>62.345999999999997</v>
      </c>
      <c r="L13" s="143">
        <v>60.222000000000001</v>
      </c>
      <c r="M13" s="143">
        <v>60.673000000000002</v>
      </c>
      <c r="N13" s="143">
        <v>56.415999999999997</v>
      </c>
      <c r="O13" s="143">
        <v>56.134</v>
      </c>
      <c r="P13" s="143">
        <v>54.494999999999997</v>
      </c>
    </row>
    <row r="14" spans="1:16" x14ac:dyDescent="0.25">
      <c r="B14" s="16" t="s">
        <v>170</v>
      </c>
      <c r="C14" s="143">
        <f>maternal_mortality</f>
        <v>7.12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0.64900000000000002</v>
      </c>
      <c r="E2" s="92">
        <f>food_insecure</f>
        <v>0.64900000000000002</v>
      </c>
      <c r="F2" s="92">
        <f>food_insecure</f>
        <v>0.64900000000000002</v>
      </c>
      <c r="G2" s="92">
        <f>food_insecure</f>
        <v>0.64900000000000002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0.64900000000000002</v>
      </c>
      <c r="F5" s="92">
        <f>food_insecure</f>
        <v>0.64900000000000002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0.12332767150990384</v>
      </c>
      <c r="D7" s="92">
        <f>diarrhoea_1_5mo/26</f>
        <v>0.11071512543461538</v>
      </c>
      <c r="E7" s="92">
        <f>diarrhoea_6_11mo/26</f>
        <v>0.11071512543461538</v>
      </c>
      <c r="F7" s="92">
        <f>diarrhoea_12_23mo/26</f>
        <v>7.5074205861538457E-2</v>
      </c>
      <c r="G7" s="92">
        <f>diarrhoea_24_59mo/26</f>
        <v>7.5074205861538457E-2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0.64900000000000002</v>
      </c>
      <c r="F8" s="92">
        <f>food_insecure</f>
        <v>0.64900000000000002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0.625</v>
      </c>
      <c r="E9" s="92">
        <f>IF(ISBLANK(comm_deliv), frac_children_health_facility,1)</f>
        <v>0.625</v>
      </c>
      <c r="F9" s="92">
        <f>IF(ISBLANK(comm_deliv), frac_children_health_facility,1)</f>
        <v>0.625</v>
      </c>
      <c r="G9" s="92">
        <f>IF(ISBLANK(comm_deliv), frac_children_health_facility,1)</f>
        <v>0.625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0.12332767150990384</v>
      </c>
      <c r="D11" s="92">
        <f>diarrhoea_1_5mo/26</f>
        <v>0.11071512543461538</v>
      </c>
      <c r="E11" s="92">
        <f>diarrhoea_6_11mo/26</f>
        <v>0.11071512543461538</v>
      </c>
      <c r="F11" s="92">
        <f>diarrhoea_12_23mo/26</f>
        <v>7.5074205861538457E-2</v>
      </c>
      <c r="G11" s="92">
        <f>diarrhoea_24_59mo/26</f>
        <v>7.5074205861538457E-2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0.64900000000000002</v>
      </c>
      <c r="I14" s="92">
        <f>food_insecure</f>
        <v>0.64900000000000002</v>
      </c>
      <c r="J14" s="92">
        <f>food_insecure</f>
        <v>0.64900000000000002</v>
      </c>
      <c r="K14" s="92">
        <f>food_insecure</f>
        <v>0.64900000000000002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0.49299999999999999</v>
      </c>
      <c r="I17" s="92">
        <f>frac_PW_health_facility</f>
        <v>0.49299999999999999</v>
      </c>
      <c r="J17" s="92">
        <f>frac_PW_health_facility</f>
        <v>0.49299999999999999</v>
      </c>
      <c r="K17" s="92">
        <f>frac_PW_health_facility</f>
        <v>0.49299999999999999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0.21</v>
      </c>
      <c r="I18" s="92">
        <f>frac_malaria_risk</f>
        <v>0.21</v>
      </c>
      <c r="J18" s="92">
        <f>frac_malaria_risk</f>
        <v>0.21</v>
      </c>
      <c r="K18" s="92">
        <f>frac_malaria_risk</f>
        <v>0.21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0.60699999999999998</v>
      </c>
      <c r="M23" s="92">
        <f>famplan_unmet_need</f>
        <v>0.60699999999999998</v>
      </c>
      <c r="N23" s="92">
        <f>famplan_unmet_need</f>
        <v>0.60699999999999998</v>
      </c>
      <c r="O23" s="92">
        <f>famplan_unmet_need</f>
        <v>0.60699999999999998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0.42794840026073477</v>
      </c>
      <c r="M24" s="92">
        <f>(1-food_insecure)*(0.49)+food_insecure*(0.7)</f>
        <v>0.62629000000000001</v>
      </c>
      <c r="N24" s="92">
        <f>(1-food_insecure)*(0.49)+food_insecure*(0.7)</f>
        <v>0.62629000000000001</v>
      </c>
      <c r="O24" s="92">
        <f>(1-food_insecure)*(0.49)+food_insecure*(0.7)</f>
        <v>0.62629000000000001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0.18340645725460061</v>
      </c>
      <c r="M25" s="92">
        <f>(1-food_insecure)*(0.21)+food_insecure*(0.3)</f>
        <v>0.26841000000000004</v>
      </c>
      <c r="N25" s="92">
        <f>(1-food_insecure)*(0.21)+food_insecure*(0.3)</f>
        <v>0.26841000000000004</v>
      </c>
      <c r="O25" s="92">
        <f>(1-food_insecure)*(0.21)+food_insecure*(0.3)</f>
        <v>0.26841000000000004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7.1952237058639554E-2</v>
      </c>
      <c r="M26" s="92">
        <f>(1-food_insecure)*(0.3)</f>
        <v>0.10529999999999999</v>
      </c>
      <c r="N26" s="92">
        <f>(1-food_insecure)*(0.3)</f>
        <v>0.10529999999999999</v>
      </c>
      <c r="O26" s="92">
        <f>(1-food_insecure)*(0.3)</f>
        <v>0.10529999999999999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0.31669290542602502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0.21</v>
      </c>
      <c r="D33" s="92">
        <f t="shared" si="3"/>
        <v>0.21</v>
      </c>
      <c r="E33" s="92">
        <f t="shared" si="3"/>
        <v>0.21</v>
      </c>
      <c r="F33" s="92">
        <f t="shared" si="3"/>
        <v>0.21</v>
      </c>
      <c r="G33" s="92">
        <f t="shared" si="3"/>
        <v>0.21</v>
      </c>
      <c r="H33" s="92">
        <f t="shared" si="3"/>
        <v>0.21</v>
      </c>
      <c r="I33" s="92">
        <f t="shared" si="3"/>
        <v>0.21</v>
      </c>
      <c r="J33" s="92">
        <f t="shared" si="3"/>
        <v>0.21</v>
      </c>
      <c r="K33" s="92">
        <f t="shared" si="3"/>
        <v>0.21</v>
      </c>
      <c r="L33" s="92">
        <f t="shared" si="3"/>
        <v>0.21</v>
      </c>
      <c r="M33" s="92">
        <f t="shared" si="3"/>
        <v>0.21</v>
      </c>
      <c r="N33" s="92">
        <f t="shared" si="3"/>
        <v>0.21</v>
      </c>
      <c r="O33" s="92">
        <f t="shared" si="3"/>
        <v>0.21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2020-03-24T06:48:41Z</dcterms:modified>
</cp:coreProperties>
</file>