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4E0BA68-4F6E-410F-A074-6A67B6CFD5EC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I8" i="2" s="1"/>
  <c r="H9" i="2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20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4" i="2"/>
  <c r="I13" i="2"/>
  <c r="I11" i="2"/>
  <c r="I10" i="2"/>
  <c r="I9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E6455017-C9F1-4DE6-9B49-D4615910D4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C553203-1CE2-4083-A8FD-1630FAEFFA8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927C87CF-3169-4008-B095-7EE7A7E86A92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56780578-B10F-400F-93E7-7C9D82B78479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882463AF-B9F0-4E74-8966-A1D6FA52501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2EA65F2A-8E74-4D8B-8660-AAF4384550E7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EBDCA31C-A479-475D-B8D6-6435AFE9ACF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A68C58C-DB5C-4725-9005-D69A60841D9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489AF321-83EB-4362-BEB1-C03D02CB759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6DCE0109-8CDA-4D93-9A00-BC1120B2B67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0053B51-B87C-4C0E-A329-7FEBFFD5CCB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48A8DC55-7134-4E78-914D-4DB3718A13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A5F8598-F69F-40F9-91A9-6A4AB5C549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458B2F65-3A85-4920-98D5-E68547EA78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4B5F5A60-BAC2-493C-A13F-E7D719FFD06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5CC0DDA-5ABD-4144-8658-3F57407243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CE36B56-6F48-4112-A9A9-1761AF468A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77C8BB8-9157-4E95-89A1-B666DC2AC5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A3C570F-3EEF-4937-90F3-0A8ED93DC6B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07899E61-08E5-4E8E-A8B7-6DAA3BD6981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80A1609D-8A07-436D-B860-5E6E69DFB77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47DF1A9-3347-4F88-AF9E-E32ED9855FB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08A5D51F-C89E-4815-BC1E-2343D7C3C12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64088B0-00B4-4CAA-808C-9852A233E5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33990491-C6FB-4703-8F2F-E9521CEFF95F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880516CD-358B-4131-8A24-4A22D6E04D9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4A56E2F9-A804-4077-A4DE-B2360E3BD4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F411E8A8-1699-4465-A2D1-BB20F935F2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DF531B57-F373-44DA-9F86-8B5E356A6A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EB23DAF-33F9-4335-AB54-BC4E7012F2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E3C82698-C6F0-45E1-A6D2-0C24BEEC12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987CF98E-0859-4A24-B36D-9609A8C47E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DF29346-E29E-44E7-A4FA-26DB49485B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53524514-59EE-4A7F-98F0-A09470854626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A61E7688-3270-4247-B56C-676858BBC0C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E39E7FE-1A8D-490B-9540-E55EFFAF1E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405459C-1765-4179-941C-B8400E8BAD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5CF344A-EF2D-490E-AF7C-F11747F944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60166F1-85F8-4BCB-9D10-3ABD6E0A04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B0690E55-34D2-40C7-A080-D2B8E0E732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5900B990-A204-4B67-8A66-E6E3C2D743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881327F-D50C-4CF5-A92C-FF02A5BA75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66FAD4AC-37CF-4106-90D9-7DF921CACE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3E9DFB0A-F20E-49FA-B00B-E4E80619B7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B4045375-A92C-446D-9AEF-F72D93C5CB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22ECA49A-76FA-4B44-B7DF-DCB2683A2E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E224F185-94E5-4208-B1EF-EFFE388108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1649CD7E-3A1A-47D2-B2CE-5006632CDC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69497AC5-1FF0-4543-9735-455F8AB5BC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28C5FCAF-FA4F-4692-BD3F-BCED6ACCC7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CAE3A5E1-16EC-480F-B9AE-72A30C3F62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663ACBE8-12D1-448C-B788-7F7EB79372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F8824062-7732-4C9D-9276-293F857802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4D4ED6D5-562C-48B0-A647-E0F5B23396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5D61B5ED-3A0A-4211-8B33-EC7D149D40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23425A6F-0B7D-4172-98BC-759184D989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C4FD398-3EF1-4CE7-A253-71308B9D80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C11C2036-BD7A-4402-B884-9A2CFB1C33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9DF4653-D5C1-419C-A9AB-1E820A8BF1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743016A-57D0-49DB-989E-4BC5B33CB9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6716F84-0666-47DA-84B7-581E20F3C1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9D679CAF-E03D-4426-8023-FB0BAAF696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163BAD8-8B91-4448-80B5-1FB862E73C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007CFEA-13BC-44D0-BF4F-21E10FB6A0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E58846A-F51F-42B0-856D-F848096AD0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E164B1E-5211-44FF-9C98-0AAFE8F53B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A7890A8-8DCF-4660-8D70-D67BB21FB8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EB5443F-AE96-4C50-941A-85AA868B32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B9BC0D9-7DC6-4F27-A2FD-64CA889B0E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B57CE6A4-B263-43A4-879C-522A664F95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7ACF56E-54B9-498F-B4CA-AA31B93895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CC77AAE-7B1F-46EF-AB68-89C07544FF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33C8E4C3-D57B-4FA7-90D7-EDD44347CA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2C6A1292-87D6-467C-8A50-4164B91EEE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70E7D42-4396-4649-957D-4F969DB57E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7B05878-5E88-4C71-8C60-D1207F6C02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2289BF3-01DD-45D2-9CD5-0D53B29CA5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67FB6BA-9561-4BBB-83A9-1B07B339F7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902087C3-9FAB-44B3-8D3A-C2BFF44D63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2BBF116F-DD70-409F-81D8-02982EC571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386C08A-41FA-4AFA-93DB-652D5AD965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58C3087C-3C38-47B7-8C2C-D922A681A1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AFAEF21-DFC3-461B-A885-FD35DC5B5C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09CB22A-4F77-4ED8-9B0C-DE466F1623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947B3BF6-AE62-48E7-B5D0-528D301C84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6C39B593-AE88-40F7-AB44-3FF34BDD5D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F00ACED-FE20-43C7-B373-B0EBF6986D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F5F302D-A160-44D2-B766-5AEAE9EA6F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10365A32-C24E-400A-8DF0-6BD1D049D8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2374C86-FB30-48D2-9C49-1DDF47CEB4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C8C6BE35-0665-4E73-88EE-3707B95FA7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51A746E-911E-491F-8D60-E3082D71FA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7DD39286-4317-4750-B73B-E6992666E9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D335B0B-4D0B-480D-97BF-A815809AF8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8EDD0D3-7C4E-400C-8CCB-FD5EBD2068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9899D92C-D30B-4867-B84F-D1A37244B3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7613A755-8E0B-40AE-8790-F11CD491A5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70A7BDB-341B-44DB-A966-EC666A75FD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CF75A1F-4E66-4CBB-8EE4-A39A4F6A6D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581254F0-40CA-4D8F-89FA-9AF09C6D78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56030D1-1D9C-4BFC-A3E5-190F629B8B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0C0FBF6B-EEB9-47F3-92A5-4934022F15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001B1652-C926-4128-AEA6-D83DC39217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307823D-9DDE-4676-9714-ADFD091152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46CFAAA-98BB-4EA7-B120-658A8774F3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E4927C76-18B6-4171-B6AC-9A776FF3F2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C779024-FF35-4D6F-8FFB-2B7DBBC5F6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6938D3F-A9AE-406F-BE6B-6ACEEFC4B6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EE9EBEBD-B4E5-4796-851D-C73FD4D07C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C4DEDF70-FC8F-4F24-8953-3F39EAA615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041DB4B-A2D2-492F-A29A-914F1B7460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3428903C-94B9-441F-ADDA-9ECECA8DA3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81298829-F940-4EA9-8529-28FF09B887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868EC0D-6FEF-4207-98CB-47DD91C133E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5E4B7F6-27DA-40F8-8053-3270742314A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FCDE05E-C6A5-43C2-BEE8-BC7B5C037A9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60D2F9CC-1BC9-48D1-B0B5-AE67668E25D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D279B92-FB1E-4B89-ABF0-D172AFFE08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67AB947-DA07-4AFA-B55F-D0F4C56940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8B0689EE-5BC4-447D-9B0D-D1A719D7B7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C1640808-88BA-4EAF-8716-2C0168D136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88EEC3B2-59C2-46E6-A5AC-F336A905F3A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B378B8D-03B2-4B8E-AB41-FD757502EE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52DC663-273F-4275-B425-4741AB1EADD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3BEA933-DDEB-4F74-9EDB-A56A5C2F52B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49BC9E2-0C1B-4E2F-A259-E59B0A44FB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96295954-D7E9-42B9-B1A0-D2B82B893B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E4DD355-6A8D-4C18-A4FF-9E542980F8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4F2D8716-1FBC-4C37-8F2A-5896372C16C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7FF988E-7250-4717-A235-D6B5C9991C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6D1A76D1-1B82-4196-9CF3-BE0110A48A9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DBDD538-961F-43D7-9FF1-D5D37A3DEC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58BDE3DD-E8B9-4859-AC9F-182A1DD4ED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73377D09-FB44-4FCB-A757-AC10DD14FE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C521FE7-C983-46B2-B12D-46677A69BF3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BAA29BC2-65E6-4639-ACA0-72AFB344F8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1FDED050-5C24-40EC-9D4D-FE8EBC69238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14D5516-8E01-448E-933D-FE935ACD322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67DD51F-DB61-4A1D-8D7A-4E3E4117A5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395AF9F-1A79-4343-9C22-4A16599E5C3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E6AE002-29EF-417E-B1B5-74DE6E9964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AF1BE252-7E18-46B1-90C8-45D3B790DC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44822705-49FF-448C-9BC0-0C26D4A535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03E86FD-C4B9-44C6-86EB-D5F49630C4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4AD77C3B-F993-4A3F-A1CA-21B602C7D2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4BEFF16D-0E6E-4B47-A828-94D18F331A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732042E8-1916-4FBD-ACE5-FE9C603D40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D85B09C1-C0B5-41AE-B4B9-D8E8DEE0DC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63E339A4-5D4D-42A1-93B3-26CFCBB7A4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A2A1DBA8-ACF4-467B-88E4-D63A73F971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4D4EF7D4-2196-457F-B863-323CB98DE8A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C5DD3EE8-1E86-4576-8A1C-A2ACB9CB7E3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BDF60CE-A5E8-41F7-83B0-91826AD4B82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9799907-8F69-4D64-9204-E0D8B5FE0B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9527FDF-AAD5-4349-A9B4-61B87BC503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9112A39-6176-4EF6-9757-909E947F33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9DDBB62D-917C-4E08-A562-BF4F229D38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B6169AD-6ECA-468E-B11B-8CC79B09A45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78D8647-C6C0-469C-AC97-B9941B8453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4972E21-F433-4CDA-8D2F-D8FC9DF1EB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2BD5212-65A0-40EF-BB74-06F40F4356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FBAAF27A-0671-43D4-92AC-B3CC7E278B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F7EC6DBB-1E53-4994-8254-E8EA1517A9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2E829C5-0217-410A-B2FA-F404595937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02DEAE1-4013-4A8A-B0D2-C60DEC6A7E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D184801-9B60-4B18-981B-749358DDB4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A968FA6-7FCE-410B-B4C0-E0D3B50BC1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046FA2F7-DA7B-42E2-B2D5-CB2B72A7ED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55A90C43-A6F1-48ED-A2AC-E4F41FC95B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8B72763-ADD3-4CE0-BBAC-694C374F7D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E1930B9-CD07-4A65-900C-EF3ED1FD06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6019FE95-46E8-470B-8658-F53EAA82F9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0116AB5-C4BB-468F-B7A7-C3A964AA9A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D3DE6E70-0741-4239-974C-F964C1C288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605BFE28-6213-454B-9712-5762BEDAE2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DE011BAD-C004-4017-A311-3927036B57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89A77002-8B8D-4353-8D91-F110FD8B68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B529E5D-E5B8-4116-B465-8CF932F413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1A49FE6-9646-434A-B263-7EAF39F592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2CD20A98-2968-4160-BB52-865B1A1950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87D196FD-D280-41AE-B9B7-D9C33F982A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EF9B4E6A-6584-4A10-B2E5-7CE7750C04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965D8C28-138B-430B-903D-1B0D8A491B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5B33D431-241D-4AD8-8E4B-25A121EB84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D21AE426-6A8B-414F-9493-100A231405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4C5593A8-D38D-46B5-9493-11DC249CB0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886A9A8-AC0C-4FC6-A422-33B502A4FE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4A12DE7A-D26F-4BE8-B6D7-B719119228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AF243302-14E1-48C9-A788-FF9B289FFE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2F773344-1D80-43C5-B3E1-53BD77CC6C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21B932D9-9FB7-4736-9F2F-348E97901C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AAD545A1-B22C-4884-909B-C0B19219C8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B6620D30-0D9E-40B7-864C-E623574DE3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7A2D51BF-8B53-4183-ADCD-5F840C0818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4657D86F-81E4-41CC-A980-1103DB5E83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97747C0-BE0D-41AB-815C-B3C12E0573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8C6C7D8-741E-46EC-8B2C-AB62443F37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C44E09E-45C6-4F64-8590-FA14B2B9FD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CD965CB4-789A-4703-9F3C-544ACB64EA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D7F80B97-DD5D-4863-974C-4BC45C221F3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4FCA475-200F-407E-A2D0-2FC1E306BC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52CA49A3-7D49-4A30-A571-78FCB41D75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05ACA54-574B-45F8-B904-6FBEC44B1B0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E6B67FD4-146B-4379-BBC3-F79C5359C61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A630FF9A-8805-4FF8-8210-F20F605B234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12278AE7-D209-49A3-ACE2-940C852E261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56580C91-B090-419F-B5CF-10E2B1A4893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EB2C59C-3CCB-41C8-A890-94BB06197C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B1B156A-50D5-4769-A1E7-91A0FE44CC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891CC18-8845-4C73-9126-105C2134DD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23464D6-E0C3-4BC7-B6E2-825783648E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E1E0F36-E457-46EF-82DB-F0987A1D883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9D51D99D-FB39-4568-B130-FA8811DEAAE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A194B999-5977-40AA-B9F7-3868BEA3E3E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7EA5806-1C88-4293-A6C7-E83D089181C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C3518E2E-8CA4-4743-AD79-F3DDC1AE4BF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A707F627-845F-44BC-8DCE-CA9F6AA2808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F841969A-F270-4E6E-A39D-C957523A8D9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43DEE918-D484-4B28-895F-A06A1D1E5D4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039FF90-AA53-4FB0-9688-D37F892DDA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A58B40E-1C64-4CB1-823F-94F7DB37E7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8200222-ACF2-407B-BBA7-3057851367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C356A22-164E-4A89-A710-601547B711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D7D6074E-ABB7-47C3-8334-6E2691E33B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1F9148EB-A07D-4F4B-AB06-A85C6B8037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0B152F0C-5D2F-4A44-AFC7-F97EB42214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A5B107B3-5AE4-4075-9D9A-8C50E4DC72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DC64DFB-E563-4499-8A81-69963D754C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CAE248B9-9AEC-4DAC-8F42-2EADFAC6E8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6EFCB1A6-84C2-48F5-A8E1-FD3CD9CA66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968980B-71DA-44C6-8BBA-A6989CF6F5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A1671F0F-1131-4FC4-B463-6EE008D5C1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E4507527-7F55-4D2E-BAB9-AC0D96A004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11615BA-73F6-4C3A-A03D-759D05506D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B591BAE8-7B4B-4BE2-9F02-55F812FC3B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3E0C93E-114A-47CA-9258-FD828D15BD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F1B39082-DAF3-4F21-B162-88EEA0B03D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A4FAE37-CC20-490E-9600-709F6D62DD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D771782-ED39-4657-8ED2-E37F058C9F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2DC77216-46A0-4014-B830-C1A5F1A6A1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CB590B2D-585A-4C4B-B199-18479F270B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9702C2CA-D82F-4350-B9AE-CD00EFD25B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81BC7DAF-70B7-4963-ACD9-9F9397990B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27274BA-4BC6-407F-99DE-7B922CB6DD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BD1739F-5AA4-4E39-9044-5BBEC10C07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4B2E33C4-0E6F-4803-9392-B919E51840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C6696868-FEAA-4950-A191-9639A303EE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3CAD424-83F8-4EB6-9C9F-6086BD9D6E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4CE74018-7723-4016-BED1-223C7801B0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0C7532D-CC42-47A2-B828-4CE87E49EE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DFD3315-0465-4145-A841-6137A35239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EEEB847-E116-46C0-9071-7716F6B6C5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52FB0378-709E-43D8-A32F-804E41425A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208B20FC-A424-4DD5-A654-431543CC39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A51DF3A0-E42E-4160-A11C-0DA65CEA36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E4E2D03-73B7-4A1E-B3DA-97B7C5C0C2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660D269-305D-4A39-94C8-A74CA45401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EA977BD-9AFF-4A0C-87CE-8F51014CD9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F8829159-FE07-431A-B7CC-46FEDC71E3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66892F6-DC66-4930-A823-67D8E47FCC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3A68F163-38FA-4935-A6E8-23BEF173A2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375E441-F113-4F39-80F6-4074A5A3E39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DD472F12-F89D-4FC9-9098-090DCE57F64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8FC06A9F-7BA4-4D1D-94ED-75D933D4093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8B1A92B3-23D3-4B40-A3F1-37247186CCD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5FD89F09-1177-47DA-8E7B-F9C87A3BB54D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7C36CA29-A694-4216-9B2E-B23224EA83A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557FF36-A31E-4FB5-A753-DEC60EFA399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15E9BCFA-4CAB-40BE-9617-19B957DE44A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9BD685FD-3361-42EB-A002-1E4C03D63C3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10EECE07-896F-400B-880A-B5E6A47535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B0C5245A-ED89-43FB-A43E-5C922CFDA68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5A0DA035-1DD4-484B-A99C-C7A84570EAE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0F57512-FA5F-4FD9-B72D-CD1FB279EB4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9B2BB7B-5CDA-492A-B117-0BE24914BE8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E1FCAE50-1240-4F3A-B024-8C8A4B34B49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E003A817-8813-4C22-A800-94F445C2680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2766E888-2268-4C8B-B126-78E8C63EAAB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48DA0C0-67AB-451F-8F30-2E9623A59B8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71710EA-B734-40AC-B389-0FA8285FF67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C60B09E2-3618-4E4A-9F6E-00FAA87AE60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A1354887-2537-42F8-A73F-C09EEBAEF6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44140D1F-4167-4E76-81C0-45983F6699E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76667F93-1FCD-4CA6-88F0-DD3FFC10976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9FE1D05B-6B86-4DFC-9886-E148D736F17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4B1E3089-29BE-4A26-B7B0-59AD90F5A16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DBA0F8EE-86F9-4AB8-815F-12E1C908718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405329D3-EE4F-476E-83EC-5ACC6E8E1C5D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D908A927-3322-4307-8887-7F9ACF057307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F41C379-99F6-49BC-883B-DC5CD3B3FA7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8E611DAB-3C32-4D82-BC0E-96395DAB59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0C41AF55-17BE-4495-BA75-53C5BEFB0E7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54C4BB64-9246-4B37-BE18-75DDEED8E86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8867465-059F-4FFA-9D56-90C05E4B76D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B7A43F8-0D34-4F98-9824-CBB67BF7303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1BF2584-1F63-443C-AD43-54E84430844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440A1DA9-6C9B-4C66-905E-0045331F9D2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5F587234-C81C-4C45-9B5A-EEAC5F3A518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23E4F6E-ABAB-49FF-9EC2-1757262DDF5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DBE976F4-2713-4881-B1DF-E6DD7123458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BECC4323-074E-499C-97B5-87E024EB8E0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0092446C-E480-48BC-BB1D-E68A3139D7D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259B3306-CDD5-464C-8586-130941AB234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D42818EF-410A-4D41-9066-DA36F413EAA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B3EF7880-BCC8-46D7-94CA-2C3113F2714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80A6B35C-DCC2-4FF4-B38B-62D9ED2F52F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88A28ABD-761C-4508-B7E4-A3029459591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C771D354-CDC2-4BEE-9DC6-1C5EB8CF0EA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568DF36-C070-4858-9B34-158452194B8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5B7E957-DF5F-4072-9157-78032AB78C5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5CF0AB4F-CF22-4FC8-B163-AFDF2A5905A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63DD168-FD06-4469-886C-FCC5B9E7415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11626620-4B25-4BF8-982D-38D9830F77F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9FF06431-C461-4E8C-944D-827CC6C09B4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E4065FCD-8227-42A9-B291-7BC992D1911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81DD236D-675B-41BA-9BC3-D7CB0CC3541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C7664B1-8894-48A1-BBC2-1DA5BDBD826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2CAB809-657B-4B3A-8256-B3C46DE40E1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3FF72BB8-E82A-47DC-8DA7-03C432D6D0D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F9C5A3C-8CDF-4D06-8A5E-E373C6F05E6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282E5908-5B47-4D7F-BA07-E75B91FB1BB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583D5E3-AECA-4A47-8FFA-E70B3CD32441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974F40FE-99D6-4353-BBFF-A4C8FD0B538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<sst xmlns="http://schemas.openxmlformats.org/spreadsheetml/2006/main" count="1102" uniqueCount="271">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</sst>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1766004</v>
      </c>
    </row>
    <row r="8" spans="1:3" ht="15" customHeight="1" x14ac:dyDescent="0.25">
      <c r="B8" s="7" t="s">
        <v>106</v>
      </c>
      <c r="C8" s="70">
        <v>0.17699999999999999</v>
      </c>
    </row>
    <row r="9" spans="1:3" ht="15" customHeight="1" x14ac:dyDescent="0.25">
      <c r="B9" s="9" t="s">
        <v>107</v>
      </c>
      <c r="C9" s="71">
        <v>0.17800000000000002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0.75599999999999989</v>
      </c>
    </row>
    <row r="12" spans="1:3" ht="15" customHeight="1" x14ac:dyDescent="0.25">
      <c r="B12" s="7" t="s">
        <v>109</v>
      </c>
      <c r="C12" s="70">
        <v>0.68799999999999994</v>
      </c>
    </row>
    <row r="13" spans="1:3" ht="15" customHeight="1" x14ac:dyDescent="0.25">
      <c r="B13" s="7" t="s">
        <v>110</v>
      </c>
      <c r="C13" s="70">
        <v>0.436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0.11349999999999999</v>
      </c>
    </row>
    <row r="24" spans="1:3" ht="15" customHeight="1" x14ac:dyDescent="0.25">
      <c r="B24" s="20" t="s">
        <v>102</v>
      </c>
      <c r="C24" s="71">
        <v>0.59699999999999998</v>
      </c>
    </row>
    <row r="25" spans="1:3" ht="15" customHeight="1" x14ac:dyDescent="0.25">
      <c r="B25" s="20" t="s">
        <v>103</v>
      </c>
      <c r="C25" s="71">
        <v>0.25980000000000003</v>
      </c>
    </row>
    <row r="26" spans="1:3" ht="15" customHeight="1" x14ac:dyDescent="0.25">
      <c r="B26" s="20" t="s">
        <v>104</v>
      </c>
      <c r="C26" s="71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0.34200000000000003</v>
      </c>
    </row>
    <row r="30" spans="1:3" ht="14.25" customHeight="1" x14ac:dyDescent="0.25">
      <c r="B30" s="30" t="s">
        <v>76</v>
      </c>
      <c r="C30" s="73">
        <v>3.7999999999999999E-2</v>
      </c>
    </row>
    <row r="31" spans="1:3" ht="14.25" customHeight="1" x14ac:dyDescent="0.25">
      <c r="B31" s="30" t="s">
        <v>77</v>
      </c>
      <c r="C31" s="73">
        <v>8.6999999999999994E-2</v>
      </c>
    </row>
    <row r="32" spans="1:3" ht="14.25" customHeight="1" x14ac:dyDescent="0.25">
      <c r="B32" s="30" t="s">
        <v>78</v>
      </c>
      <c r="C32" s="73">
        <v>0.53299999998509884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14.9</v>
      </c>
    </row>
    <row r="38" spans="1:5" ht="15" customHeight="1" x14ac:dyDescent="0.25">
      <c r="B38" s="16" t="s">
        <v>91</v>
      </c>
      <c r="C38" s="75">
        <v>25.1</v>
      </c>
      <c r="D38" s="17"/>
      <c r="E38" s="18"/>
    </row>
    <row r="39" spans="1:5" ht="15" customHeight="1" x14ac:dyDescent="0.25">
      <c r="B39" s="16" t="s">
        <v>90</v>
      </c>
      <c r="C39" s="75">
        <v>29.2</v>
      </c>
      <c r="D39" s="17"/>
      <c r="E39" s="17"/>
    </row>
    <row r="40" spans="1:5" ht="15" customHeight="1" x14ac:dyDescent="0.25">
      <c r="B40" s="16" t="s">
        <v>171</v>
      </c>
      <c r="C40" s="75">
        <v>1.61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2.35E-2</v>
      </c>
      <c r="D45" s="17"/>
    </row>
    <row r="46" spans="1:5" ht="15.75" customHeight="1" x14ac:dyDescent="0.25">
      <c r="B46" s="16" t="s">
        <v>11</v>
      </c>
      <c r="C46" s="71">
        <v>8.199999999999999E-2</v>
      </c>
      <c r="D46" s="17"/>
    </row>
    <row r="47" spans="1:5" ht="15.75" customHeight="1" x14ac:dyDescent="0.25">
      <c r="B47" s="16" t="s">
        <v>12</v>
      </c>
      <c r="C47" s="71">
        <v>0.1638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2.6496677342975001</v>
      </c>
      <c r="D51" s="17"/>
    </row>
    <row r="52" spans="1:4" ht="15" customHeight="1" x14ac:dyDescent="0.25">
      <c r="B52" s="16" t="s">
        <v>125</v>
      </c>
      <c r="C52" s="76">
        <v>2.5766778612099901</v>
      </c>
    </row>
    <row r="53" spans="1:4" ht="15.75" customHeight="1" x14ac:dyDescent="0.25">
      <c r="B53" s="16" t="s">
        <v>126</v>
      </c>
      <c r="C53" s="76">
        <v>2.5766778612099901</v>
      </c>
    </row>
    <row r="54" spans="1:4" ht="15.75" customHeight="1" x14ac:dyDescent="0.25">
      <c r="B54" s="16" t="s">
        <v>127</v>
      </c>
      <c r="C54" s="76">
        <v>1.76542330577</v>
      </c>
    </row>
    <row r="55" spans="1:4" ht="15.75" customHeight="1" x14ac:dyDescent="0.25">
      <c r="B55" s="16" t="s">
        <v>128</v>
      </c>
      <c r="C55" s="76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0.50938677917516184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39.696912528269593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42.56131478053868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126.99072381893862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0.60121428364803742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1.1385162225492453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1.1385162225492453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1.1385162225492453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1.1385162225492453</v>
      </c>
      <c r="E13" s="86" t="s">
        <v>202</v>
      </c>
    </row>
    <row r="14" spans="1:5" ht="15.75" customHeight="1" x14ac:dyDescent="0.25">
      <c r="A14" s="11" t="s">
        <v>187</v>
      </c>
      <c r="B14" s="85">
        <v>0.755</v>
      </c>
      <c r="C14" s="85">
        <v>0.95</v>
      </c>
      <c r="D14" s="86">
        <v>13.579026680559272</v>
      </c>
      <c r="E14" s="86" t="s">
        <v>202</v>
      </c>
    </row>
    <row r="15" spans="1:5" ht="15.75" customHeight="1" x14ac:dyDescent="0.25">
      <c r="A15" s="11" t="s">
        <v>209</v>
      </c>
      <c r="B15" s="85">
        <v>0.755</v>
      </c>
      <c r="C15" s="85">
        <v>0.95</v>
      </c>
      <c r="D15" s="86">
        <v>13.579026680559272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0.31826941840934786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0.47700000000000004</v>
      </c>
      <c r="C18" s="85">
        <v>0.95</v>
      </c>
      <c r="D18" s="87">
        <v>3.0140963746025125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3.0140963746025125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3.0140963746025125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5.9848115273531732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23.193313917820198</v>
      </c>
      <c r="E22" s="86" t="s">
        <v>202</v>
      </c>
    </row>
    <row r="23" spans="1:5" ht="15.75" customHeight="1" x14ac:dyDescent="0.25">
      <c r="A23" s="52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19.58054575546414</v>
      </c>
      <c r="E24" s="86" t="s">
        <v>202</v>
      </c>
    </row>
    <row r="25" spans="1:5" ht="15.75" customHeight="1" x14ac:dyDescent="0.25">
      <c r="A25" s="52" t="s">
        <v>87</v>
      </c>
      <c r="B25" s="85">
        <v>0.35399999999999998</v>
      </c>
      <c r="C25" s="85">
        <v>0.95</v>
      </c>
      <c r="D25" s="86">
        <v>19.576933767958259</v>
      </c>
      <c r="E25" s="86" t="s">
        <v>202</v>
      </c>
    </row>
    <row r="26" spans="1:5" ht="15.75" customHeight="1" x14ac:dyDescent="0.25">
      <c r="A26" s="52" t="s">
        <v>137</v>
      </c>
      <c r="B26" s="85">
        <v>0.755</v>
      </c>
      <c r="C26" s="85">
        <v>0.95</v>
      </c>
      <c r="D26" s="86">
        <v>4.6009026838711451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4.5224416316021818</v>
      </c>
      <c r="E27" s="86" t="s">
        <v>202</v>
      </c>
    </row>
    <row r="28" spans="1:5" ht="15.75" customHeight="1" x14ac:dyDescent="0.25">
      <c r="A28" s="52" t="s">
        <v>84</v>
      </c>
      <c r="B28" s="85">
        <v>0.35200000000000004</v>
      </c>
      <c r="C28" s="85">
        <v>0.95</v>
      </c>
      <c r="D28" s="86">
        <v>1.2736614862900537</v>
      </c>
      <c r="E28" s="86" t="s">
        <v>202</v>
      </c>
    </row>
    <row r="29" spans="1:5" ht="15.75" customHeight="1" x14ac:dyDescent="0.25">
      <c r="A29" s="52" t="s">
        <v>58</v>
      </c>
      <c r="B29" s="85">
        <v>0.47700000000000004</v>
      </c>
      <c r="C29" s="85">
        <v>0.95</v>
      </c>
      <c r="D29" s="86">
        <v>71.806854509052982</v>
      </c>
      <c r="E29" s="86" t="s">
        <v>202</v>
      </c>
    </row>
    <row r="30" spans="1:5" ht="15.75" customHeight="1" x14ac:dyDescent="0.25">
      <c r="A30" s="52" t="s">
        <v>67</v>
      </c>
      <c r="B30" s="85">
        <v>2.5000000000000001E-2</v>
      </c>
      <c r="C30" s="85">
        <v>0.95</v>
      </c>
      <c r="D30" s="86">
        <v>3.2115414876650563</v>
      </c>
      <c r="E30" s="86" t="s">
        <v>202</v>
      </c>
    </row>
    <row r="31" spans="1:5" ht="15.75" customHeight="1" x14ac:dyDescent="0.25">
      <c r="A31" s="52" t="s">
        <v>28</v>
      </c>
      <c r="B31" s="85">
        <v>0.58499999999999996</v>
      </c>
      <c r="C31" s="85">
        <v>0.95</v>
      </c>
      <c r="D31" s="86">
        <v>0.63634500895123969</v>
      </c>
      <c r="E31" s="86" t="s">
        <v>202</v>
      </c>
    </row>
    <row r="32" spans="1:5" ht="15.75" customHeight="1" x14ac:dyDescent="0.25">
      <c r="A32" s="52" t="s">
        <v>83</v>
      </c>
      <c r="B32" s="85">
        <v>0.79900000000000004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0.70799999999999996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0.42399999999999999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0.755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0.214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5.4000000000000006E-2</v>
      </c>
      <c r="C37" s="85">
        <v>0.95</v>
      </c>
      <c r="D37" s="86">
        <v>3.6117709663371329</v>
      </c>
      <c r="E37" s="86" t="s">
        <v>202</v>
      </c>
    </row>
    <row r="38" spans="1:6" ht="15.75" customHeight="1" x14ac:dyDescent="0.25">
      <c r="A38" s="52" t="s">
        <v>60</v>
      </c>
      <c r="B38" s="85">
        <v>5.4000000000000006E-2</v>
      </c>
      <c r="C38" s="85">
        <v>0.95</v>
      </c>
      <c r="D38" s="86">
        <v>0.65912922373243676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0.20410009879999999</v>
      </c>
      <c r="C3" s="26">
        <f>frac_mam_1_5months * 2.6</f>
        <v>0.20410009879999999</v>
      </c>
      <c r="D3" s="26">
        <f>frac_mam_6_11months * 2.6</f>
        <v>0.21705851700000003</v>
      </c>
      <c r="E3" s="26">
        <f>frac_mam_12_23months * 2.6</f>
        <v>0.20035362879999999</v>
      </c>
      <c r="F3" s="26">
        <f>frac_mam_24_59months * 2.6</f>
        <v>0.18230603473333332</v>
      </c>
    </row>
    <row r="4" spans="1:6" ht="15.75" customHeight="1" x14ac:dyDescent="0.25">
      <c r="A4" s="3" t="s">
        <v>66</v>
      </c>
      <c r="B4" s="26">
        <f>frac_sam_1month * 2.6</f>
        <v>0.14572912120000001</v>
      </c>
      <c r="C4" s="26">
        <f>frac_sam_1_5months * 2.6</f>
        <v>0.14572912120000001</v>
      </c>
      <c r="D4" s="26">
        <f>frac_sam_6_11months * 2.6</f>
        <v>7.8459666999999997E-2</v>
      </c>
      <c r="E4" s="26">
        <f>frac_sam_12_23months * 2.6</f>
        <v>8.5751307200000002E-2</v>
      </c>
      <c r="F4" s="26">
        <f>frac_sam_24_59months * 2.6</f>
        <v>4.1449881199999997E-2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366298.96647799999</v>
      </c>
      <c r="C2" s="78">
        <v>743327</v>
      </c>
      <c r="D2" s="78">
        <v>1471164</v>
      </c>
      <c r="E2" s="78">
        <v>1362464</v>
      </c>
      <c r="F2" s="78">
        <v>782578</v>
      </c>
      <c r="G2" s="22">
        <f t="shared" ref="G2:G40" si="0">C2+D2+E2+F2</f>
        <v>4359533</v>
      </c>
      <c r="H2" s="22">
        <f t="shared" ref="H2:H40" si="1">(B2 + stillbirth*B2/(1000-stillbirth))/(1-abortion)</f>
        <v>426103.93158819835</v>
      </c>
      <c r="I2" s="22">
        <f>G2-H2</f>
        <v>3933429.0684118015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364349.04200000002</v>
      </c>
      <c r="C3" s="78">
        <v>733000</v>
      </c>
      <c r="D3" s="78">
        <v>1502000</v>
      </c>
      <c r="E3" s="78">
        <v>1424000</v>
      </c>
      <c r="F3" s="78">
        <v>750000</v>
      </c>
      <c r="G3" s="22">
        <f t="shared" si="0"/>
        <v>4409000</v>
      </c>
      <c r="H3" s="22">
        <f t="shared" si="1"/>
        <v>423835.64649210667</v>
      </c>
      <c r="I3" s="22">
        <f t="shared" ref="I3:I15" si="3">G3-H3</f>
        <v>3985164.3535078932</v>
      </c>
    </row>
    <row r="4" spans="1:9" ht="15.75" customHeight="1" x14ac:dyDescent="0.25">
      <c r="A4" s="7">
        <f t="shared" si="2"/>
        <v>2019</v>
      </c>
      <c r="B4" s="77">
        <v>362098.54399999999</v>
      </c>
      <c r="C4" s="78">
        <v>727000</v>
      </c>
      <c r="D4" s="78">
        <v>1525000</v>
      </c>
      <c r="E4" s="78">
        <v>1468000</v>
      </c>
      <c r="F4" s="78">
        <v>737000</v>
      </c>
      <c r="G4" s="22">
        <f t="shared" si="0"/>
        <v>4457000</v>
      </c>
      <c r="H4" s="22">
        <f t="shared" si="1"/>
        <v>421217.71378251771</v>
      </c>
      <c r="I4" s="22">
        <f t="shared" si="3"/>
        <v>4035782.2862174823</v>
      </c>
    </row>
    <row r="5" spans="1:9" ht="15.75" customHeight="1" x14ac:dyDescent="0.25">
      <c r="A5" s="7">
        <f t="shared" si="2"/>
        <v>2020</v>
      </c>
      <c r="B5" s="77">
        <v>359544.44400000002</v>
      </c>
      <c r="C5" s="78">
        <v>727000</v>
      </c>
      <c r="D5" s="78">
        <v>1534000</v>
      </c>
      <c r="E5" s="78">
        <v>1490000</v>
      </c>
      <c r="F5" s="78">
        <v>756000</v>
      </c>
      <c r="G5" s="22">
        <f t="shared" si="0"/>
        <v>4507000</v>
      </c>
      <c r="H5" s="22">
        <f t="shared" si="1"/>
        <v>418246.6105273444</v>
      </c>
      <c r="I5" s="22">
        <f t="shared" si="3"/>
        <v>4088753.3894726555</v>
      </c>
    </row>
    <row r="6" spans="1:9" ht="15.75" customHeight="1" x14ac:dyDescent="0.25">
      <c r="A6" s="7">
        <f t="shared" si="2"/>
        <v>2021</v>
      </c>
      <c r="B6" s="77">
        <v>356793.19680000003</v>
      </c>
      <c r="C6" s="78">
        <v>732000</v>
      </c>
      <c r="D6" s="78">
        <v>1531000</v>
      </c>
      <c r="E6" s="78">
        <v>1493000</v>
      </c>
      <c r="F6" s="78">
        <v>804000</v>
      </c>
      <c r="G6" s="22">
        <f t="shared" si="0"/>
        <v>4560000</v>
      </c>
      <c r="H6" s="22">
        <f t="shared" si="1"/>
        <v>415046.17220789468</v>
      </c>
      <c r="I6" s="22">
        <f t="shared" si="3"/>
        <v>4144953.8277921053</v>
      </c>
    </row>
    <row r="7" spans="1:9" ht="15.75" customHeight="1" x14ac:dyDescent="0.25">
      <c r="A7" s="7">
        <f t="shared" si="2"/>
        <v>2022</v>
      </c>
      <c r="B7" s="77">
        <v>353732.90180000005</v>
      </c>
      <c r="C7" s="78">
        <v>744000</v>
      </c>
      <c r="D7" s="78">
        <v>1515000</v>
      </c>
      <c r="E7" s="78">
        <v>1471000</v>
      </c>
      <c r="F7" s="78">
        <v>882000</v>
      </c>
      <c r="G7" s="22">
        <f t="shared" si="0"/>
        <v>4612000</v>
      </c>
      <c r="H7" s="22">
        <f t="shared" si="1"/>
        <v>411486.22841701313</v>
      </c>
      <c r="I7" s="22">
        <f t="shared" si="3"/>
        <v>4200513.7715829872</v>
      </c>
    </row>
    <row r="8" spans="1:9" ht="15.75" customHeight="1" x14ac:dyDescent="0.25">
      <c r="A8" s="7">
        <f t="shared" si="2"/>
        <v>2023</v>
      </c>
      <c r="B8" s="77">
        <v>350370.33600000007</v>
      </c>
      <c r="C8" s="78">
        <v>760000</v>
      </c>
      <c r="D8" s="78">
        <v>1491000</v>
      </c>
      <c r="E8" s="78">
        <v>1437000</v>
      </c>
      <c r="F8" s="78">
        <v>979000</v>
      </c>
      <c r="G8" s="22">
        <f t="shared" si="0"/>
        <v>4667000</v>
      </c>
      <c r="H8" s="22">
        <f t="shared" si="1"/>
        <v>407574.66262314655</v>
      </c>
      <c r="I8" s="22">
        <f t="shared" si="3"/>
        <v>4259425.3373768535</v>
      </c>
    </row>
    <row r="9" spans="1:9" ht="15.75" customHeight="1" x14ac:dyDescent="0.25">
      <c r="A9" s="7">
        <f t="shared" si="2"/>
        <v>2024</v>
      </c>
      <c r="B9" s="77">
        <v>346731.97820000013</v>
      </c>
      <c r="C9" s="78">
        <v>776000</v>
      </c>
      <c r="D9" s="78">
        <v>1469000</v>
      </c>
      <c r="E9" s="78">
        <v>1409000</v>
      </c>
      <c r="F9" s="78">
        <v>1078000</v>
      </c>
      <c r="G9" s="22">
        <f t="shared" si="0"/>
        <v>4732000</v>
      </c>
      <c r="H9" s="22">
        <f t="shared" si="1"/>
        <v>403342.27677174483</v>
      </c>
      <c r="I9" s="22">
        <f t="shared" si="3"/>
        <v>4328657.7232282553</v>
      </c>
    </row>
    <row r="10" spans="1:9" ht="15.75" customHeight="1" x14ac:dyDescent="0.25">
      <c r="A10" s="7">
        <f t="shared" si="2"/>
        <v>2025</v>
      </c>
      <c r="B10" s="77">
        <v>342823.25</v>
      </c>
      <c r="C10" s="78">
        <v>792000</v>
      </c>
      <c r="D10" s="78">
        <v>1455000</v>
      </c>
      <c r="E10" s="78">
        <v>1397000</v>
      </c>
      <c r="F10" s="78">
        <v>1166000</v>
      </c>
      <c r="G10" s="22">
        <f t="shared" si="0"/>
        <v>4810000</v>
      </c>
      <c r="H10" s="22">
        <f t="shared" si="1"/>
        <v>398795.37763756519</v>
      </c>
      <c r="I10" s="22">
        <f t="shared" si="3"/>
        <v>4411204.6223624349</v>
      </c>
    </row>
    <row r="11" spans="1:9" ht="15.75" customHeight="1" x14ac:dyDescent="0.25">
      <c r="A11" s="7">
        <f t="shared" si="2"/>
        <v>2026</v>
      </c>
      <c r="B11" s="77">
        <v>341466.17840000003</v>
      </c>
      <c r="C11" s="78">
        <v>805000</v>
      </c>
      <c r="D11" s="78">
        <v>1450000</v>
      </c>
      <c r="E11" s="78">
        <v>1403000</v>
      </c>
      <c r="F11" s="78">
        <v>1246000</v>
      </c>
      <c r="G11" s="22">
        <f t="shared" si="0"/>
        <v>4904000</v>
      </c>
      <c r="H11" s="22">
        <f t="shared" si="1"/>
        <v>397216.73942909128</v>
      </c>
      <c r="I11" s="22">
        <f t="shared" si="3"/>
        <v>4506783.2605709089</v>
      </c>
    </row>
    <row r="12" spans="1:9" ht="15.75" customHeight="1" x14ac:dyDescent="0.25">
      <c r="A12" s="7">
        <f t="shared" si="2"/>
        <v>2027</v>
      </c>
      <c r="B12" s="77">
        <v>339913.75799999997</v>
      </c>
      <c r="C12" s="78">
        <v>817000</v>
      </c>
      <c r="D12" s="78">
        <v>1450000</v>
      </c>
      <c r="E12" s="78">
        <v>1425000</v>
      </c>
      <c r="F12" s="78">
        <v>1319000</v>
      </c>
      <c r="G12" s="22">
        <f t="shared" si="0"/>
        <v>5011000</v>
      </c>
      <c r="H12" s="22">
        <f t="shared" si="1"/>
        <v>395410.85817783343</v>
      </c>
      <c r="I12" s="22">
        <f t="shared" si="3"/>
        <v>4615589.1418221667</v>
      </c>
    </row>
    <row r="13" spans="1:9" ht="15.75" customHeight="1" x14ac:dyDescent="0.25">
      <c r="A13" s="7">
        <f t="shared" si="2"/>
        <v>2028</v>
      </c>
      <c r="B13" s="77">
        <v>338169.52160000004</v>
      </c>
      <c r="C13" s="78">
        <v>828000</v>
      </c>
      <c r="D13" s="78">
        <v>1456000</v>
      </c>
      <c r="E13" s="78">
        <v>1455000</v>
      </c>
      <c r="F13" s="78">
        <v>1380000</v>
      </c>
      <c r="G13" s="22">
        <f t="shared" si="0"/>
        <v>5119000</v>
      </c>
      <c r="H13" s="22">
        <f t="shared" si="1"/>
        <v>393381.84347761353</v>
      </c>
      <c r="I13" s="22">
        <f t="shared" si="3"/>
        <v>4725618.1565223867</v>
      </c>
    </row>
    <row r="14" spans="1:9" ht="15.75" customHeight="1" x14ac:dyDescent="0.25">
      <c r="A14" s="7">
        <f t="shared" si="2"/>
        <v>2029</v>
      </c>
      <c r="B14" s="77">
        <v>336255.07440000004</v>
      </c>
      <c r="C14" s="78">
        <v>837000</v>
      </c>
      <c r="D14" s="78">
        <v>1466000</v>
      </c>
      <c r="E14" s="78">
        <v>1480000</v>
      </c>
      <c r="F14" s="78">
        <v>1423000</v>
      </c>
      <c r="G14" s="22">
        <f t="shared" si="0"/>
        <v>5206000</v>
      </c>
      <c r="H14" s="22">
        <f t="shared" si="1"/>
        <v>391154.82797008543</v>
      </c>
      <c r="I14" s="22">
        <f t="shared" si="3"/>
        <v>4814845.1720299143</v>
      </c>
    </row>
    <row r="15" spans="1:9" ht="15.75" customHeight="1" x14ac:dyDescent="0.25">
      <c r="A15" s="7">
        <f t="shared" si="2"/>
        <v>2030</v>
      </c>
      <c r="B15" s="77">
        <v>334190.84399999998</v>
      </c>
      <c r="C15" s="78">
        <v>845000</v>
      </c>
      <c r="D15" s="78">
        <v>1481000</v>
      </c>
      <c r="E15" s="78">
        <v>1489000</v>
      </c>
      <c r="F15" s="78">
        <v>1446000</v>
      </c>
      <c r="G15" s="22">
        <f t="shared" si="0"/>
        <v>5261000</v>
      </c>
      <c r="H15" s="22">
        <f t="shared" si="1"/>
        <v>388753.57443229604</v>
      </c>
      <c r="I15" s="22">
        <f t="shared" si="3"/>
        <v>4872246.4255677043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127.95949965509099</v>
      </c>
      <c r="I17" s="22">
        <f t="shared" si="4"/>
        <v>-127.95949965509099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1.8512309750000001E-2</v>
      </c>
    </row>
    <row r="4" spans="1:8" ht="15.75" customHeight="1" x14ac:dyDescent="0.25">
      <c r="B4" s="24" t="s">
        <v>7</v>
      </c>
      <c r="C4" s="79">
        <v>0.12092363988733373</v>
      </c>
    </row>
    <row r="5" spans="1:8" ht="15.75" customHeight="1" x14ac:dyDescent="0.25">
      <c r="B5" s="24" t="s">
        <v>8</v>
      </c>
      <c r="C5" s="79">
        <v>0.24901359729052125</v>
      </c>
    </row>
    <row r="6" spans="1:8" ht="15.75" customHeight="1" x14ac:dyDescent="0.25">
      <c r="B6" s="24" t="s">
        <v>10</v>
      </c>
      <c r="C6" s="79">
        <v>0.10032630853225115</v>
      </c>
    </row>
    <row r="7" spans="1:8" ht="15.75" customHeight="1" x14ac:dyDescent="0.25">
      <c r="B7" s="24" t="s">
        <v>13</v>
      </c>
      <c r="C7" s="79">
        <v>0.1884673761777895</v>
      </c>
    </row>
    <row r="8" spans="1:8" ht="15.75" customHeight="1" x14ac:dyDescent="0.25">
      <c r="B8" s="24" t="s">
        <v>14</v>
      </c>
      <c r="C8" s="79">
        <v>1.0395492039711072E-2</v>
      </c>
    </row>
    <row r="9" spans="1:8" ht="15.75" customHeight="1" x14ac:dyDescent="0.25">
      <c r="B9" s="24" t="s">
        <v>27</v>
      </c>
      <c r="C9" s="79">
        <v>0.15696951583595126</v>
      </c>
    </row>
    <row r="10" spans="1:8" ht="15.75" customHeight="1" x14ac:dyDescent="0.25">
      <c r="B10" s="24" t="s">
        <v>15</v>
      </c>
      <c r="C10" s="79">
        <v>0.1553917604864421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5.0220338879632308E-2</v>
      </c>
      <c r="D14" s="79">
        <v>5.0220338879632308E-2</v>
      </c>
      <c r="E14" s="79">
        <v>3.7729366447222697E-2</v>
      </c>
      <c r="F14" s="79">
        <v>3.7729366447222697E-2</v>
      </c>
    </row>
    <row r="15" spans="1:8" ht="15.75" customHeight="1" x14ac:dyDescent="0.25">
      <c r="B15" s="24" t="s">
        <v>16</v>
      </c>
      <c r="C15" s="79">
        <v>0.43362315354046499</v>
      </c>
      <c r="D15" s="79">
        <v>0.43362315354046499</v>
      </c>
      <c r="E15" s="79">
        <v>0.27992620991870798</v>
      </c>
      <c r="F15" s="79">
        <v>0.27992620991870798</v>
      </c>
    </row>
    <row r="16" spans="1:8" ht="15.75" customHeight="1" x14ac:dyDescent="0.25">
      <c r="B16" s="24" t="s">
        <v>17</v>
      </c>
      <c r="C16" s="79">
        <v>2.9808791248100999E-2</v>
      </c>
      <c r="D16" s="79">
        <v>2.9808791248100999E-2</v>
      </c>
      <c r="E16" s="79">
        <v>2.2517153776019799E-2</v>
      </c>
      <c r="F16" s="79">
        <v>2.2517153776019799E-2</v>
      </c>
    </row>
    <row r="17" spans="1:8" ht="15.75" customHeight="1" x14ac:dyDescent="0.25">
      <c r="B17" s="24" t="s">
        <v>18</v>
      </c>
      <c r="C17" s="79">
        <v>2.50714639421368E-3</v>
      </c>
      <c r="D17" s="79">
        <v>2.50714639421368E-3</v>
      </c>
      <c r="E17" s="79">
        <v>1.0819356965885801E-2</v>
      </c>
      <c r="F17" s="79">
        <v>1.0819356965885801E-2</v>
      </c>
    </row>
    <row r="18" spans="1:8" ht="15.75" customHeight="1" x14ac:dyDescent="0.25">
      <c r="B18" s="24" t="s">
        <v>19</v>
      </c>
      <c r="C18" s="79">
        <v>2.18029966893553E-2</v>
      </c>
      <c r="D18" s="79">
        <v>2.18029966893553E-2</v>
      </c>
      <c r="E18" s="79">
        <v>4.4111294379051397E-2</v>
      </c>
      <c r="F18" s="79">
        <v>4.4111294379051397E-2</v>
      </c>
    </row>
    <row r="19" spans="1:8" ht="15.75" customHeight="1" x14ac:dyDescent="0.25">
      <c r="B19" s="24" t="s">
        <v>20</v>
      </c>
      <c r="C19" s="79">
        <v>1.91831953322711E-2</v>
      </c>
      <c r="D19" s="79">
        <v>1.91831953322711E-2</v>
      </c>
      <c r="E19" s="79">
        <v>3.4530344307587502E-2</v>
      </c>
      <c r="F19" s="79">
        <v>3.4530344307587502E-2</v>
      </c>
    </row>
    <row r="20" spans="1:8" ht="15.75" customHeight="1" x14ac:dyDescent="0.25">
      <c r="B20" s="24" t="s">
        <v>21</v>
      </c>
      <c r="C20" s="79">
        <v>2.6505538252055202E-2</v>
      </c>
      <c r="D20" s="79">
        <v>2.6505538252055202E-2</v>
      </c>
      <c r="E20" s="79">
        <v>1.1252649892896101E-2</v>
      </c>
      <c r="F20" s="79">
        <v>1.1252649892896101E-2</v>
      </c>
    </row>
    <row r="21" spans="1:8" ht="15.75" customHeight="1" x14ac:dyDescent="0.25">
      <c r="B21" s="24" t="s">
        <v>22</v>
      </c>
      <c r="C21" s="79">
        <v>7.4510593915879997E-2</v>
      </c>
      <c r="D21" s="79">
        <v>7.4510593915879997E-2</v>
      </c>
      <c r="E21" s="79">
        <v>0.27611396755060502</v>
      </c>
      <c r="F21" s="79">
        <v>0.27611396755060502</v>
      </c>
    </row>
    <row r="22" spans="1:8" ht="15.75" customHeight="1" x14ac:dyDescent="0.25">
      <c r="B22" s="24" t="s">
        <v>23</v>
      </c>
      <c r="C22" s="79">
        <v>0.34183824574802657</v>
      </c>
      <c r="D22" s="79">
        <v>0.34183824574802657</v>
      </c>
      <c r="E22" s="79">
        <v>0.28299965676202365</v>
      </c>
      <c r="F22" s="79">
        <v>0.28299965676202365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1.8200000000000001E-2</v>
      </c>
    </row>
    <row r="28" spans="1:8" ht="15.75" customHeight="1" x14ac:dyDescent="0.25">
      <c r="B28" s="24" t="s">
        <v>40</v>
      </c>
      <c r="C28" s="79">
        <v>0.2288</v>
      </c>
    </row>
    <row r="29" spans="1:8" ht="15.75" customHeight="1" x14ac:dyDescent="0.25">
      <c r="B29" s="24" t="s">
        <v>41</v>
      </c>
      <c r="C29" s="79">
        <v>0.13819999999999999</v>
      </c>
    </row>
    <row r="30" spans="1:8" ht="15.75" customHeight="1" x14ac:dyDescent="0.25">
      <c r="B30" s="24" t="s">
        <v>42</v>
      </c>
      <c r="C30" s="79">
        <v>5.0099999999999999E-2</v>
      </c>
    </row>
    <row r="31" spans="1:8" ht="15.75" customHeight="1" x14ac:dyDescent="0.25">
      <c r="B31" s="24" t="s">
        <v>43</v>
      </c>
      <c r="C31" s="79">
        <v>6.9199999999999998E-2</v>
      </c>
    </row>
    <row r="32" spans="1:8" ht="15.75" customHeight="1" x14ac:dyDescent="0.25">
      <c r="B32" s="24" t="s">
        <v>44</v>
      </c>
      <c r="C32" s="79">
        <v>0.14699999999999999</v>
      </c>
    </row>
    <row r="33" spans="2:3" ht="15.75" customHeight="1" x14ac:dyDescent="0.25">
      <c r="B33" s="24" t="s">
        <v>45</v>
      </c>
      <c r="C33" s="79">
        <v>0.12269999999999999</v>
      </c>
    </row>
    <row r="34" spans="2:3" ht="15.75" customHeight="1" x14ac:dyDescent="0.25">
      <c r="B34" s="24" t="s">
        <v>46</v>
      </c>
      <c r="C34" s="79">
        <v>0.17800000000000016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0.69831037930804607</v>
      </c>
      <c r="D2" s="80">
        <v>0.69831037930804607</v>
      </c>
      <c r="E2" s="80">
        <v>0.60457214485127175</v>
      </c>
      <c r="F2" s="80">
        <v>0.36936191307052962</v>
      </c>
      <c r="G2" s="80">
        <v>0.30071608171105746</v>
      </c>
    </row>
    <row r="3" spans="1:15" ht="15.75" customHeight="1" x14ac:dyDescent="0.25">
      <c r="A3" s="5"/>
      <c r="B3" s="11" t="s">
        <v>118</v>
      </c>
      <c r="C3" s="80">
        <v>0.19450654400817718</v>
      </c>
      <c r="D3" s="80">
        <v>0.19450654400817718</v>
      </c>
      <c r="E3" s="80">
        <v>0.27293291036726919</v>
      </c>
      <c r="F3" s="80">
        <v>0.42459360100630972</v>
      </c>
      <c r="G3" s="80">
        <v>0.44563949458385615</v>
      </c>
    </row>
    <row r="4" spans="1:15" ht="15.75" customHeight="1" x14ac:dyDescent="0.25">
      <c r="A4" s="5"/>
      <c r="B4" s="11" t="s">
        <v>116</v>
      </c>
      <c r="C4" s="81">
        <v>6.657333955514079E-2</v>
      </c>
      <c r="D4" s="81">
        <v>6.657333955514079E-2</v>
      </c>
      <c r="E4" s="81">
        <v>8.1885207652823158E-2</v>
      </c>
      <c r="F4" s="81">
        <v>0.14712708041686109</v>
      </c>
      <c r="G4" s="81">
        <v>0.18463006169959043</v>
      </c>
    </row>
    <row r="5" spans="1:15" ht="15.75" customHeight="1" x14ac:dyDescent="0.25">
      <c r="A5" s="5"/>
      <c r="B5" s="11" t="s">
        <v>119</v>
      </c>
      <c r="C5" s="81">
        <v>4.0609737128635873E-2</v>
      </c>
      <c r="D5" s="81">
        <v>4.0609737128635873E-2</v>
      </c>
      <c r="E5" s="81">
        <v>4.0609737128635873E-2</v>
      </c>
      <c r="F5" s="81">
        <v>5.8917405506299592E-2</v>
      </c>
      <c r="G5" s="81">
        <v>6.9014362005495947E-2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0.69672719105504588</v>
      </c>
      <c r="D8" s="80">
        <v>0.69672719105504588</v>
      </c>
      <c r="E8" s="80">
        <v>0.68521214260289209</v>
      </c>
      <c r="F8" s="80">
        <v>0.63582782790593517</v>
      </c>
      <c r="G8" s="80">
        <v>0.61995932171407742</v>
      </c>
    </row>
    <row r="9" spans="1:15" ht="15.75" customHeight="1" x14ac:dyDescent="0.25">
      <c r="B9" s="7" t="s">
        <v>121</v>
      </c>
      <c r="C9" s="80">
        <v>0.16872310894495413</v>
      </c>
      <c r="D9" s="80">
        <v>0.16872310894495413</v>
      </c>
      <c r="E9" s="80">
        <v>0.20112701739710787</v>
      </c>
      <c r="F9" s="80">
        <v>0.25413181209406493</v>
      </c>
      <c r="G9" s="80">
        <v>0.29398071061925601</v>
      </c>
    </row>
    <row r="10" spans="1:15" ht="15.75" customHeight="1" x14ac:dyDescent="0.25">
      <c r="B10" s="7" t="s">
        <v>122</v>
      </c>
      <c r="C10" s="81">
        <v>7.8500037999999994E-2</v>
      </c>
      <c r="D10" s="81">
        <v>7.8500037999999994E-2</v>
      </c>
      <c r="E10" s="81">
        <v>8.3484045000000007E-2</v>
      </c>
      <c r="F10" s="81">
        <v>7.7059087999999998E-2</v>
      </c>
      <c r="G10" s="81">
        <v>7.0117705666666655E-2</v>
      </c>
    </row>
    <row r="11" spans="1:15" ht="15.75" customHeight="1" x14ac:dyDescent="0.25">
      <c r="B11" s="7" t="s">
        <v>123</v>
      </c>
      <c r="C11" s="81">
        <v>5.6049662E-2</v>
      </c>
      <c r="D11" s="81">
        <v>5.6049662E-2</v>
      </c>
      <c r="E11" s="81">
        <v>3.0176794999999999E-2</v>
      </c>
      <c r="F11" s="81">
        <v>3.2981271999999999E-2</v>
      </c>
      <c r="G11" s="81">
        <v>1.5942261999999999E-2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0.80253134725000008</v>
      </c>
      <c r="D14" s="82">
        <v>0.77318331069899993</v>
      </c>
      <c r="E14" s="82">
        <v>0.77318331069899993</v>
      </c>
      <c r="F14" s="82">
        <v>0.58703675869799998</v>
      </c>
      <c r="G14" s="82">
        <v>0.58703675869799998</v>
      </c>
      <c r="H14" s="83">
        <v>0.69599999999999995</v>
      </c>
      <c r="I14" s="83">
        <v>0.57887224669603521</v>
      </c>
      <c r="J14" s="83">
        <v>0.49801762114537446</v>
      </c>
      <c r="K14" s="83">
        <v>0.51911013215859025</v>
      </c>
      <c r="L14" s="83">
        <v>0.44872248865300002</v>
      </c>
      <c r="M14" s="83">
        <v>0.33782547144749997</v>
      </c>
      <c r="N14" s="83">
        <v>0.35875274224850001</v>
      </c>
      <c r="O14" s="83">
        <v>0.35034935636850001</v>
      </c>
    </row>
    <row r="15" spans="1:15" ht="15.75" customHeight="1" x14ac:dyDescent="0.25">
      <c r="B15" s="16" t="s">
        <v>68</v>
      </c>
      <c r="C15" s="80">
        <f>iron_deficiency_anaemia*C14</f>
        <v>0.40879885816278094</v>
      </c>
      <c r="D15" s="80">
        <f t="shared" ref="D15:O15" si="0">iron_deficiency_anaemia*D14</f>
        <v>0.39384935634895202</v>
      </c>
      <c r="E15" s="80">
        <f t="shared" si="0"/>
        <v>0.39384935634895202</v>
      </c>
      <c r="F15" s="80">
        <f t="shared" si="0"/>
        <v>0.29902876377060089</v>
      </c>
      <c r="G15" s="80">
        <f t="shared" si="0"/>
        <v>0.29902876377060089</v>
      </c>
      <c r="H15" s="80">
        <f t="shared" si="0"/>
        <v>0.35453319830591262</v>
      </c>
      <c r="I15" s="80">
        <f t="shared" si="0"/>
        <v>0.2948698692983831</v>
      </c>
      <c r="J15" s="80">
        <f t="shared" si="0"/>
        <v>0.25368359200771828</v>
      </c>
      <c r="K15" s="80">
        <f t="shared" si="0"/>
        <v>0.26442783825745692</v>
      </c>
      <c r="L15" s="80">
        <f t="shared" si="0"/>
        <v>0.22857330323841479</v>
      </c>
      <c r="M15" s="80">
        <f t="shared" si="0"/>
        <v>0.17208382882397261</v>
      </c>
      <c r="N15" s="80">
        <f t="shared" si="0"/>
        <v>0.18274390389422043</v>
      </c>
      <c r="O15" s="80">
        <f t="shared" si="0"/>
        <v>0.17846333022664118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0.65</v>
      </c>
      <c r="D2" s="81">
        <v>0.65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0.06</v>
      </c>
      <c r="D3" s="81">
        <v>0.129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0.105</v>
      </c>
      <c r="D4" s="81">
        <v>0.105</v>
      </c>
      <c r="E4" s="81">
        <v>0.755</v>
      </c>
      <c r="F4" s="81">
        <v>0.8610000000000001</v>
      </c>
      <c r="G4" s="81">
        <v>0</v>
      </c>
    </row>
    <row r="5" spans="1:7" x14ac:dyDescent="0.25">
      <c r="B5" s="43" t="s">
        <v>169</v>
      </c>
      <c r="C5" s="80">
        <f>1-SUM(C2:C4)</f>
        <v>0.18500000000000005</v>
      </c>
      <c r="D5" s="80">
        <f>1-SUM(D2:D4)</f>
        <v>0.11599999999999999</v>
      </c>
      <c r="E5" s="80">
        <f>1-SUM(E2:E4)</f>
        <v>0.245</v>
      </c>
      <c r="F5" s="80">
        <f>1-SUM(F2:F4)</f>
        <v>0.1389999999999999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0.38805000000000001</v>
      </c>
      <c r="D2" s="144">
        <v>0.38012000000000001</v>
      </c>
      <c r="E2" s="144">
        <v>0.37225000000000003</v>
      </c>
      <c r="F2" s="144">
        <v>0.36448000000000003</v>
      </c>
      <c r="G2" s="144">
        <v>0.35676000000000002</v>
      </c>
      <c r="H2" s="144">
        <v>0.34912999999999994</v>
      </c>
      <c r="I2" s="144">
        <v>0.34165000000000001</v>
      </c>
      <c r="J2" s="144">
        <v>0.33433000000000002</v>
      </c>
      <c r="K2" s="144">
        <v>0.32715000000000005</v>
      </c>
      <c r="L2" s="144">
        <v>0.32012000000000002</v>
      </c>
      <c r="M2" s="144">
        <v>0.31319999999999998</v>
      </c>
      <c r="N2" s="144">
        <v>0.30642999999999998</v>
      </c>
      <c r="O2" s="144">
        <v>0.29980000000000001</v>
      </c>
      <c r="P2" s="144">
        <v>0.29332999999999998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8.7559999999999999E-2</v>
      </c>
      <c r="D4" s="144">
        <v>8.5029999999999994E-2</v>
      </c>
      <c r="E4" s="144">
        <v>8.2589999999999997E-2</v>
      </c>
      <c r="F4" s="144">
        <v>8.022E-2</v>
      </c>
      <c r="G4" s="144">
        <v>7.7939999999999995E-2</v>
      </c>
      <c r="H4" s="144">
        <v>7.5759999999999994E-2</v>
      </c>
      <c r="I4" s="144">
        <v>7.3639999999999997E-2</v>
      </c>
      <c r="J4" s="144">
        <v>7.1580000000000005E-2</v>
      </c>
      <c r="K4" s="144">
        <v>6.9589999999999999E-2</v>
      </c>
      <c r="L4" s="144">
        <v>6.7659999999999998E-2</v>
      </c>
      <c r="M4" s="144">
        <v>6.5799999999999997E-2</v>
      </c>
      <c r="N4" s="144">
        <v>6.4000000000000001E-2</v>
      </c>
      <c r="O4" s="144">
        <v>6.2260000000000003E-2</v>
      </c>
      <c r="P4" s="144">
        <v>6.0590000000000005E-2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0.31824204064983497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0.28292797106186135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0.18502220416115475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0.65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0.82566666666666677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31.533999999999999</v>
      </c>
      <c r="D13" s="143">
        <v>30.452999999999999</v>
      </c>
      <c r="E13" s="143">
        <v>29.015999999999998</v>
      </c>
      <c r="F13" s="143">
        <v>27.881</v>
      </c>
      <c r="G13" s="143">
        <v>26.545000000000002</v>
      </c>
      <c r="H13" s="143">
        <v>25.484999999999999</v>
      </c>
      <c r="I13" s="143">
        <v>24.39</v>
      </c>
      <c r="J13" s="143">
        <v>23.547999999999998</v>
      </c>
      <c r="K13" s="143">
        <v>22.513999999999999</v>
      </c>
      <c r="L13" s="143">
        <v>21.646000000000001</v>
      </c>
      <c r="M13" s="143">
        <v>25.565999999999999</v>
      </c>
      <c r="N13" s="143">
        <v>19.841999999999999</v>
      </c>
      <c r="O13" s="143">
        <v>21.088999999999999</v>
      </c>
      <c r="P13" s="143">
        <v>21.088999999999999</v>
      </c>
    </row>
    <row r="14" spans="1:16" x14ac:dyDescent="0.25">
      <c r="B14" s="16" t="s">
        <v>170</v>
      </c>
      <c r="C14" s="143">
        <f>maternal_mortality</f>
        <v>1.61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0.17699999999999999</v>
      </c>
      <c r="E2" s="92">
        <f>food_insecure</f>
        <v>0.17699999999999999</v>
      </c>
      <c r="F2" s="92">
        <f>food_insecure</f>
        <v>0.17699999999999999</v>
      </c>
      <c r="G2" s="92">
        <f>food_insecure</f>
        <v>0.17699999999999999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0.17699999999999999</v>
      </c>
      <c r="F5" s="92">
        <f>food_insecure</f>
        <v>0.17699999999999999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0.10191029747298078</v>
      </c>
      <c r="D7" s="92">
        <f>diarrhoea_1_5mo/26</f>
        <v>9.9102994661922697E-2</v>
      </c>
      <c r="E7" s="92">
        <f>diarrhoea_6_11mo/26</f>
        <v>9.9102994661922697E-2</v>
      </c>
      <c r="F7" s="92">
        <f>diarrhoea_12_23mo/26</f>
        <v>6.7900896375769224E-2</v>
      </c>
      <c r="G7" s="92">
        <f>diarrhoea_24_59mo/26</f>
        <v>6.7900896375769224E-2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0.17699999999999999</v>
      </c>
      <c r="F8" s="92">
        <f>food_insecure</f>
        <v>0.17699999999999999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0.68799999999999994</v>
      </c>
      <c r="E9" s="92">
        <f>IF(ISBLANK(comm_deliv), frac_children_health_facility,1)</f>
        <v>0.68799999999999994</v>
      </c>
      <c r="F9" s="92">
        <f>IF(ISBLANK(comm_deliv), frac_children_health_facility,1)</f>
        <v>0.68799999999999994</v>
      </c>
      <c r="G9" s="92">
        <f>IF(ISBLANK(comm_deliv), frac_children_health_facility,1)</f>
        <v>0.68799999999999994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0.10191029747298078</v>
      </c>
      <c r="D11" s="92">
        <f>diarrhoea_1_5mo/26</f>
        <v>9.9102994661922697E-2</v>
      </c>
      <c r="E11" s="92">
        <f>diarrhoea_6_11mo/26</f>
        <v>9.9102994661922697E-2</v>
      </c>
      <c r="F11" s="92">
        <f>diarrhoea_12_23mo/26</f>
        <v>6.7900896375769224E-2</v>
      </c>
      <c r="G11" s="92">
        <f>diarrhoea_24_59mo/26</f>
        <v>6.7900896375769224E-2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0.17699999999999999</v>
      </c>
      <c r="I14" s="92">
        <f>food_insecure</f>
        <v>0.17699999999999999</v>
      </c>
      <c r="J14" s="92">
        <f>food_insecure</f>
        <v>0.17699999999999999</v>
      </c>
      <c r="K14" s="92">
        <f>food_insecure</f>
        <v>0.17699999999999999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0.75599999999999989</v>
      </c>
      <c r="I17" s="92">
        <f>frac_PW_health_facility</f>
        <v>0.75599999999999989</v>
      </c>
      <c r="J17" s="92">
        <f>frac_PW_health_facility</f>
        <v>0.75599999999999989</v>
      </c>
      <c r="K17" s="92">
        <f>frac_PW_health_facility</f>
        <v>0.75599999999999989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0.17800000000000002</v>
      </c>
      <c r="I18" s="92">
        <f>frac_malaria_risk</f>
        <v>0.17800000000000002</v>
      </c>
      <c r="J18" s="92">
        <f>frac_malaria_risk</f>
        <v>0.17800000000000002</v>
      </c>
      <c r="K18" s="92">
        <f>frac_malaria_risk</f>
        <v>0.17800000000000002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0.436</v>
      </c>
      <c r="M23" s="92">
        <f>famplan_unmet_need</f>
        <v>0.436</v>
      </c>
      <c r="N23" s="92">
        <f>famplan_unmet_need</f>
        <v>0.436</v>
      </c>
      <c r="O23" s="92">
        <f>famplan_unmet_need</f>
        <v>0.436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9.8007761270831995E-2</v>
      </c>
      <c r="M24" s="92">
        <f>(1-food_insecure)*(0.49)+food_insecure*(0.7)</f>
        <v>0.52716999999999992</v>
      </c>
      <c r="N24" s="92">
        <f>(1-food_insecure)*(0.49)+food_insecure*(0.7)</f>
        <v>0.52716999999999992</v>
      </c>
      <c r="O24" s="92">
        <f>(1-food_insecure)*(0.49)+food_insecure*(0.7)</f>
        <v>0.52716999999999992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4.2003326258927998E-2</v>
      </c>
      <c r="M25" s="92">
        <f>(1-food_insecure)*(0.21)+food_insecure*(0.3)</f>
        <v>0.22592999999999996</v>
      </c>
      <c r="N25" s="92">
        <f>(1-food_insecure)*(0.21)+food_insecure*(0.3)</f>
        <v>0.22592999999999996</v>
      </c>
      <c r="O25" s="92">
        <f>(1-food_insecure)*(0.21)+food_insecure*(0.3)</f>
        <v>0.22592999999999996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4.5901922070239999E-2</v>
      </c>
      <c r="M26" s="92">
        <f>(1-food_insecure)*(0.3)</f>
        <v>0.24689999999999998</v>
      </c>
      <c r="N26" s="92">
        <f>(1-food_insecure)*(0.3)</f>
        <v>0.24689999999999998</v>
      </c>
      <c r="O26" s="92">
        <f>(1-food_insecure)*(0.3)</f>
        <v>0.24689999999999998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0.81408699039999988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0.17800000000000002</v>
      </c>
      <c r="D33" s="92">
        <f t="shared" si="3"/>
        <v>0.17800000000000002</v>
      </c>
      <c r="E33" s="92">
        <f t="shared" si="3"/>
        <v>0.17800000000000002</v>
      </c>
      <c r="F33" s="92">
        <f t="shared" si="3"/>
        <v>0.17800000000000002</v>
      </c>
      <c r="G33" s="92">
        <f t="shared" si="3"/>
        <v>0.17800000000000002</v>
      </c>
      <c r="H33" s="92">
        <f t="shared" si="3"/>
        <v>0.17800000000000002</v>
      </c>
      <c r="I33" s="92">
        <f t="shared" si="3"/>
        <v>0.17800000000000002</v>
      </c>
      <c r="J33" s="92">
        <f t="shared" si="3"/>
        <v>0.17800000000000002</v>
      </c>
      <c r="K33" s="92">
        <f t="shared" si="3"/>
        <v>0.17800000000000002</v>
      </c>
      <c r="L33" s="92">
        <f t="shared" si="3"/>
        <v>0.17800000000000002</v>
      </c>
      <c r="M33" s="92">
        <f t="shared" si="3"/>
        <v>0.17800000000000002</v>
      </c>
      <c r="N33" s="92">
        <f t="shared" si="3"/>
        <v>0.17800000000000002</v>
      </c>
      <c r="O33" s="92">
        <f t="shared" si="3"/>
        <v>0.17800000000000002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2020-03-24T06:48:42Z</dcterms:modified>
</cp:coreProperties>
</file>