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dominic.delport\Documents\Optima Nutrition Work\SDG project data\Modelling\Optima\inputs\"/>
    </mc:Choice>
  </mc:AlternateContent>
  <xr:revisionPtr revIDLastSave="0" documentId="8_{ACED5054-AF19-49AA-AC1B-FCB8B3284DAF}" xr6:coauthVersionLast="45" xr6:coauthVersionMax="45" xr10:uidLastSave="{00000000-0000-0000-0000-000000000000}"/>
  <bookViews>
    <workbookView xWindow="-110" yWindow="-110" windowWidth="19420" windowHeight="10420" tabRatio="894" firstSheet="2" activeTab="11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state="hidden" r:id="rId7"/>
    <sheet name="Treatment of SAM" sheetId="60" state="hidden" r:id="rId8"/>
    <sheet name="Programs target population" sheetId="21" state="hidden" r:id="rId9"/>
    <sheet name="Programs cost and coverage" sheetId="56" r:id="rId10"/>
    <sheet name="IYCF cost" sheetId="57" state="hidden" r:id="rId11"/>
    <sheet name="Program dependencies" sheetId="58" r:id="rId12"/>
    <sheet name="Reference programs" sheetId="59" state="hidden" r:id="rId13"/>
    <sheet name="Incidence of conditions" sheetId="7" state="hidden" r:id="rId14"/>
    <sheet name="Cost curve options" sheetId="61" state="hidden" r:id="rId15"/>
    <sheet name="Programs family planning" sheetId="54" state="hidden" r:id="rId16"/>
    <sheet name="Programs impacted population" sheetId="62" state="hidden" r:id="rId17"/>
    <sheet name="Program risk areas" sheetId="63" state="hidden" r:id="rId18"/>
    <sheet name="Population risk areas" sheetId="64" state="hidden" r:id="rId19"/>
    <sheet name="IYCF odds ratios" sheetId="65" state="hidden" r:id="rId20"/>
    <sheet name="Birth outcome risks" sheetId="66" state="hidden" r:id="rId21"/>
    <sheet name="Relative risks" sheetId="67" state="hidden" r:id="rId22"/>
    <sheet name="Odds ratios" sheetId="68" state="hidden" r:id="rId23"/>
    <sheet name="Programs birth outcomes" sheetId="69" state="hidden" r:id="rId24"/>
    <sheet name="Programs anemia" sheetId="70" state="hidden" r:id="rId25"/>
    <sheet name="Programs wasting" sheetId="71" state="hidden" r:id="rId26"/>
    <sheet name="Programs for children" sheetId="72" state="hidden" r:id="rId27"/>
    <sheet name="Programs for PW" sheetId="73" state="hidden" r:id="rId28"/>
  </sheets>
  <definedNames>
    <definedName name="_xlnm._FilterDatabase" localSheetId="20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" i="7" l="1"/>
  <c r="C11" i="51"/>
  <c r="C10" i="51"/>
  <c r="C14" i="51"/>
  <c r="C15" i="5"/>
  <c r="E31" i="21"/>
  <c r="D5" i="65"/>
  <c r="C35" i="4"/>
  <c r="D23" i="4"/>
  <c r="E23" i="4"/>
  <c r="F23" i="4"/>
  <c r="C23" i="4"/>
  <c r="C11" i="4"/>
  <c r="A1" i="4"/>
  <c r="M23" i="21"/>
  <c r="N23" i="21"/>
  <c r="O23" i="21"/>
  <c r="L23" i="21"/>
  <c r="G11" i="21"/>
  <c r="F11" i="21"/>
  <c r="E11" i="21"/>
  <c r="D11" i="21"/>
  <c r="C11" i="21"/>
  <c r="E7" i="21"/>
  <c r="G7" i="21"/>
  <c r="F7" i="21"/>
  <c r="D7" i="21"/>
  <c r="C7" i="21"/>
  <c r="E20" i="55"/>
  <c r="E19" i="55"/>
  <c r="E18" i="55"/>
  <c r="E17" i="55"/>
  <c r="E16" i="55"/>
  <c r="E13" i="55"/>
  <c r="E12" i="55"/>
  <c r="E11" i="55"/>
  <c r="E10" i="55"/>
  <c r="E9" i="55"/>
  <c r="H2" i="2"/>
  <c r="I2" i="2" s="1"/>
  <c r="C33" i="1"/>
  <c r="A1" i="50"/>
  <c r="A1" i="5"/>
  <c r="B1" i="56"/>
  <c r="D6" i="57"/>
  <c r="C6" i="57"/>
  <c r="D5" i="57"/>
  <c r="C5" i="57"/>
  <c r="D4" i="57"/>
  <c r="C4" i="57"/>
  <c r="D3" i="57"/>
  <c r="C3" i="57"/>
  <c r="C2" i="57"/>
  <c r="A2" i="2"/>
  <c r="A34" i="2"/>
  <c r="G16" i="2"/>
  <c r="H16" i="2"/>
  <c r="I16" i="2" s="1"/>
  <c r="G17" i="2"/>
  <c r="H17" i="2"/>
  <c r="G18" i="2"/>
  <c r="H18" i="2"/>
  <c r="G19" i="2"/>
  <c r="H19" i="2"/>
  <c r="I19" i="2"/>
  <c r="G20" i="2"/>
  <c r="H20" i="2"/>
  <c r="G21" i="2"/>
  <c r="H21" i="2"/>
  <c r="I21" i="2"/>
  <c r="G22" i="2"/>
  <c r="H22" i="2"/>
  <c r="G23" i="2"/>
  <c r="H23" i="2"/>
  <c r="I23" i="2" s="1"/>
  <c r="G24" i="2"/>
  <c r="H24" i="2"/>
  <c r="G25" i="2"/>
  <c r="H25" i="2"/>
  <c r="I25" i="2" s="1"/>
  <c r="G26" i="2"/>
  <c r="H26" i="2"/>
  <c r="I26" i="2" s="1"/>
  <c r="G27" i="2"/>
  <c r="H27" i="2"/>
  <c r="I27" i="2" s="1"/>
  <c r="G28" i="2"/>
  <c r="H28" i="2"/>
  <c r="I28" i="2" s="1"/>
  <c r="G29" i="2"/>
  <c r="H29" i="2"/>
  <c r="I29" i="2" s="1"/>
  <c r="G30" i="2"/>
  <c r="H30" i="2"/>
  <c r="I30" i="2" s="1"/>
  <c r="G31" i="2"/>
  <c r="H31" i="2"/>
  <c r="I31" i="2" s="1"/>
  <c r="G32" i="2"/>
  <c r="H32" i="2"/>
  <c r="G33" i="2"/>
  <c r="H33" i="2"/>
  <c r="I33" i="2" s="1"/>
  <c r="G34" i="2"/>
  <c r="H34" i="2"/>
  <c r="I34" i="2" s="1"/>
  <c r="G35" i="2"/>
  <c r="H35" i="2"/>
  <c r="I35" i="2" s="1"/>
  <c r="G36" i="2"/>
  <c r="H36" i="2"/>
  <c r="G37" i="2"/>
  <c r="H37" i="2"/>
  <c r="I37" i="2" s="1"/>
  <c r="G38" i="2"/>
  <c r="H38" i="2"/>
  <c r="I38" i="2" s="1"/>
  <c r="G39" i="2"/>
  <c r="H39" i="2"/>
  <c r="I39" i="2" s="1"/>
  <c r="G40" i="2"/>
  <c r="H40" i="2"/>
  <c r="I40" i="2" s="1"/>
  <c r="I17" i="21"/>
  <c r="J17" i="21"/>
  <c r="K17" i="21"/>
  <c r="H17" i="21"/>
  <c r="K16" i="21"/>
  <c r="J16" i="21"/>
  <c r="I16" i="21"/>
  <c r="H16" i="21"/>
  <c r="E9" i="21"/>
  <c r="F9" i="21"/>
  <c r="G9" i="21"/>
  <c r="D9" i="21"/>
  <c r="I21" i="2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/>
  <c r="E3" i="55"/>
  <c r="E4" i="55"/>
  <c r="E5" i="55"/>
  <c r="E6" i="55"/>
  <c r="F2" i="7"/>
  <c r="E2" i="7"/>
  <c r="D2" i="7"/>
  <c r="C2" i="7"/>
  <c r="B2" i="7"/>
  <c r="F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3" i="21"/>
  <c r="O29" i="2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G5" i="50"/>
  <c r="F5" i="50"/>
  <c r="E5" i="50"/>
  <c r="D5" i="50"/>
  <c r="C5" i="50"/>
  <c r="C48" i="1"/>
  <c r="H3" i="2"/>
  <c r="H4" i="2"/>
  <c r="G4" i="2"/>
  <c r="H5" i="2"/>
  <c r="H6" i="2"/>
  <c r="H7" i="2"/>
  <c r="H8" i="2"/>
  <c r="I8" i="2" s="1"/>
  <c r="H9" i="2"/>
  <c r="H10" i="2"/>
  <c r="H11" i="2"/>
  <c r="H12" i="2"/>
  <c r="I12" i="2" s="1"/>
  <c r="H13" i="2"/>
  <c r="H14" i="2"/>
  <c r="H15" i="2"/>
  <c r="C20" i="1"/>
  <c r="G3" i="2"/>
  <c r="G5" i="2"/>
  <c r="G6" i="2"/>
  <c r="G7" i="2"/>
  <c r="G8" i="2"/>
  <c r="G9" i="2"/>
  <c r="G10" i="2"/>
  <c r="G11" i="2"/>
  <c r="G12" i="2"/>
  <c r="G13" i="2"/>
  <c r="G14" i="2"/>
  <c r="G15" i="2"/>
  <c r="G2" i="2"/>
  <c r="I24" i="2"/>
  <c r="I22" i="2"/>
  <c r="I18" i="2"/>
  <c r="I32" i="2"/>
  <c r="I20" i="2"/>
  <c r="I36" i="2"/>
  <c r="A3" i="2"/>
  <c r="A24" i="2"/>
  <c r="A18" i="2"/>
  <c r="A36" i="2"/>
  <c r="A40" i="2"/>
  <c r="A22" i="2"/>
  <c r="A25" i="2"/>
  <c r="A29" i="2"/>
  <c r="A27" i="2"/>
  <c r="A31" i="2"/>
  <c r="A20" i="2"/>
  <c r="A16" i="2"/>
  <c r="I17" i="2"/>
  <c r="A19" i="2"/>
  <c r="A35" i="2"/>
  <c r="A28" i="2"/>
  <c r="A17" i="2"/>
  <c r="A33" i="2"/>
  <c r="A30" i="2"/>
  <c r="A26" i="2"/>
  <c r="A23" i="2"/>
  <c r="A39" i="2"/>
  <c r="A32" i="2"/>
  <c r="A21" i="2"/>
  <c r="A37" i="2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8" i="2"/>
  <c r="C8" i="51" l="1"/>
  <c r="C7" i="51"/>
  <c r="I15" i="2"/>
  <c r="I14" i="2"/>
  <c r="I13" i="2"/>
  <c r="I11" i="2"/>
  <c r="I10" i="2"/>
  <c r="I9" i="2"/>
  <c r="I7" i="2"/>
  <c r="I6" i="2"/>
  <c r="I5" i="2"/>
  <c r="I4" i="2"/>
  <c r="I3" i="2"/>
  <c r="C6" i="5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7" authorId="0" shapeId="0" xr:uid="{67BB77FE-6ED3-4D0E-B8D9-CA219AA4C52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8" authorId="0" shapeId="0" xr:uid="{7C95978A-5358-4739-BFEF-AF2C07C06818}">
      <text>
        <r>
          <rPr>
            <sz val="9"/>
            <color indexed="81"/>
            <rFont val="Tahoma"/>
            <charset val="1"/>
          </rPr>
          <t>Source: LiST</t>
        </r>
      </text>
    </comment>
    <comment ref="C9" authorId="0" shapeId="0" xr:uid="{B81B0CB4-1322-4C5B-AD57-FE9FEB22253C}">
      <text>
        <r>
          <rPr>
            <sz val="9"/>
            <color indexed="81"/>
            <rFont val="Tahoma"/>
            <charset val="1"/>
          </rPr>
          <t>Source: LiST [Percentage of women exposed]</t>
        </r>
      </text>
    </comment>
    <comment ref="C10" authorId="0" shapeId="0" xr:uid="{570B05C4-1EDC-4245-9F95-C175EA62CCC0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11" authorId="0" shapeId="0" xr:uid="{D8949B3B-D8E8-4739-9635-4B24DCE8DAB5}">
      <text>
        <r>
          <rPr>
            <sz val="9"/>
            <color indexed="81"/>
            <rFont val="Tahoma"/>
            <charset val="1"/>
          </rPr>
          <t>Source: WHO Global Health Observatory (Country level)</t>
        </r>
      </text>
    </comment>
    <comment ref="C12" authorId="0" shapeId="0" xr:uid="{64A3CB97-2428-48BA-A845-B06A42C5029D}">
      <text>
        <r>
          <rPr>
            <sz val="9"/>
            <color indexed="81"/>
            <rFont val="Tahoma"/>
            <charset val="1"/>
          </rPr>
          <t>Source: Old WHO Global Health Observatory data [Filler data]</t>
        </r>
      </text>
    </comment>
    <comment ref="C13" authorId="0" shapeId="0" xr:uid="{2CD50DCC-E102-4584-AD79-A47C81C4A433}">
      <text>
        <r>
          <rPr>
            <sz val="9"/>
            <color indexed="81"/>
            <rFont val="Tahoma"/>
            <charset val="1"/>
          </rPr>
          <t>Source: WHO Global Health Observatory (Country level)</t>
        </r>
      </text>
    </comment>
    <comment ref="C16" authorId="0" shapeId="0" xr:uid="{AC4C9620-11D0-4169-B7C4-B70F05D41EF5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17" authorId="0" shapeId="0" xr:uid="{21623B7A-E131-4D31-8382-0F43C18C6BF4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18" authorId="0" shapeId="0" xr:uid="{AD21510C-CC3E-4D6C-9DFB-D551594EF833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19" authorId="0" shapeId="0" xr:uid="{A1C601D8-0511-4D39-86CD-634DD091A3DC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23" authorId="0" shapeId="0" xr:uid="{28B462E0-B1D3-4DC8-83EE-9F8C77BD1F87}">
      <text>
        <r>
          <rPr>
            <sz val="9"/>
            <color indexed="81"/>
            <rFont val="Tahoma"/>
            <charset val="1"/>
          </rPr>
          <t>Source: LiST</t>
        </r>
      </text>
    </comment>
    <comment ref="C24" authorId="0" shapeId="0" xr:uid="{9249BA04-E984-4567-BD45-A2F600741B2C}">
      <text>
        <r>
          <rPr>
            <sz val="9"/>
            <color indexed="81"/>
            <rFont val="Tahoma"/>
            <charset val="1"/>
          </rPr>
          <t>Source: LiST</t>
        </r>
      </text>
    </comment>
    <comment ref="C25" authorId="0" shapeId="0" xr:uid="{1FCC7460-364F-4920-BFB0-E94890F15EBE}">
      <text>
        <r>
          <rPr>
            <sz val="9"/>
            <color indexed="81"/>
            <rFont val="Tahoma"/>
            <charset val="1"/>
          </rPr>
          <t>Source: LiST</t>
        </r>
      </text>
    </comment>
    <comment ref="C26" authorId="0" shapeId="0" xr:uid="{402BF672-0173-4BC0-B1B9-5B724414699E}">
      <text>
        <r>
          <rPr>
            <sz val="9"/>
            <color indexed="81"/>
            <rFont val="Tahoma"/>
            <charset val="1"/>
          </rPr>
          <t>Source: LiST</t>
        </r>
      </text>
    </comment>
    <comment ref="C29" authorId="0" shapeId="0" xr:uid="{A14B6C68-F535-403B-A16B-47FACA50F859}">
      <text>
        <r>
          <rPr>
            <sz val="9"/>
            <color indexed="81"/>
            <rFont val="Tahoma"/>
            <charset val="1"/>
          </rPr>
          <t>Source: LiST</t>
        </r>
      </text>
    </comment>
    <comment ref="C30" authorId="0" shapeId="0" xr:uid="{79E0E915-35D0-4089-B7FE-6DE0739B08D1}">
      <text>
        <r>
          <rPr>
            <sz val="9"/>
            <color indexed="81"/>
            <rFont val="Tahoma"/>
            <charset val="1"/>
          </rPr>
          <t>Source: LiST</t>
        </r>
      </text>
    </comment>
    <comment ref="C31" authorId="0" shapeId="0" xr:uid="{883F0A7A-A06C-4765-9A23-6C03203195EB}">
      <text>
        <r>
          <rPr>
            <sz val="9"/>
            <color indexed="81"/>
            <rFont val="Tahoma"/>
            <charset val="1"/>
          </rPr>
          <t>Source: LiST</t>
        </r>
      </text>
    </comment>
    <comment ref="C32" authorId="0" shapeId="0" xr:uid="{349B0276-6CA8-45B0-928D-655F5E8105AD}">
      <text>
        <r>
          <rPr>
            <sz val="9"/>
            <color indexed="81"/>
            <rFont val="Tahoma"/>
            <charset val="1"/>
          </rPr>
          <t>Source: LiST</t>
        </r>
      </text>
    </comment>
    <comment ref="C37" authorId="0" shapeId="0" xr:uid="{96105514-8281-4ACE-B9B2-88682F41DB9B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38" authorId="0" shapeId="0" xr:uid="{419767D0-91AC-4DC2-BFFE-59FDCD99F88C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39" authorId="0" shapeId="0" xr:uid="{6CF61223-A8D3-405A-A5E9-B2762193CEA4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40" authorId="0" shapeId="0" xr:uid="{1127D315-EC6A-447C-9754-EFB84D5A2380}">
      <text>
        <r>
          <rPr>
            <sz val="9"/>
            <color indexed="81"/>
            <rFont val="Tahoma"/>
            <charset val="1"/>
          </rPr>
          <t>Source: UNICEF Data (2015) (Country level)</t>
        </r>
      </text>
    </comment>
    <comment ref="C41" authorId="0" shapeId="0" xr:uid="{08530F94-B4CE-4D7D-ACD4-4A2535039493}">
      <text>
        <r>
          <rPr>
            <sz val="9"/>
            <color indexed="81"/>
            <rFont val="Tahoma"/>
            <charset val="1"/>
          </rPr>
          <t>Source: LiST</t>
        </r>
      </text>
    </comment>
    <comment ref="C42" authorId="0" shapeId="0" xr:uid="{0AB11599-3550-4236-8769-ECCCC76A8ED2}">
      <text>
        <r>
          <rPr>
            <sz val="9"/>
            <color indexed="81"/>
            <rFont val="Tahoma"/>
            <charset val="1"/>
          </rPr>
          <t>Source: WHO Global Health Observatory (2015) (Country level)</t>
        </r>
      </text>
    </comment>
    <comment ref="C45" authorId="0" shapeId="0" xr:uid="{AEDE7148-C4B9-4104-94B4-44C4F952E438}">
      <text>
        <r>
          <rPr>
            <sz val="9"/>
            <color indexed="81"/>
            <rFont val="Tahoma"/>
            <charset val="1"/>
          </rPr>
          <t>Source: LiST</t>
        </r>
      </text>
    </comment>
    <comment ref="C46" authorId="0" shapeId="0" xr:uid="{48DF39CC-64C9-425D-9D5D-357DD8FC8143}">
      <text>
        <r>
          <rPr>
            <sz val="9"/>
            <color indexed="81"/>
            <rFont val="Tahoma"/>
            <charset val="1"/>
          </rPr>
          <t>Source: LiST</t>
        </r>
      </text>
    </comment>
    <comment ref="C47" authorId="0" shapeId="0" xr:uid="{B7CCEFF7-7345-4C94-A766-6D26BA834B94}">
      <text>
        <r>
          <rPr>
            <sz val="9"/>
            <color indexed="81"/>
            <rFont val="Tahoma"/>
            <charset val="1"/>
          </rPr>
          <t>Source: LiST</t>
        </r>
      </text>
    </comment>
    <comment ref="C51" authorId="0" shapeId="0" xr:uid="{A999DD29-1BDC-4B5E-88B4-F64D5EC6AF3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2" authorId="0" shapeId="0" xr:uid="{06524B0A-D262-4E82-A962-2988137C0EA6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3" authorId="0" shapeId="0" xr:uid="{E659464D-CD01-4644-8CB2-C8DDE7B0426E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4" authorId="0" shapeId="0" xr:uid="{14AC4405-6530-44B8-A1C2-342E94D131F6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5" authorId="0" shapeId="0" xr:uid="{20738035-89DB-4DC9-995A-3333A849577A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8" authorId="0" shapeId="0" xr:uid="{98328907-6770-41D7-8518-925046FC2B33}">
      <text>
        <r>
          <rPr>
            <sz val="9"/>
            <color indexed="81"/>
            <rFont val="Tahoma"/>
            <charset val="1"/>
          </rPr>
          <t>Source: Global burden of childhood pneumonia and diarrhoea &lt;https://www.sciencedirect.com/science/article/pii/S0140673613602226?via%3Dihub&gt; (Region level)</t>
        </r>
      </text>
    </comment>
    <comment ref="C59" authorId="0" shapeId="0" xr:uid="{0BDD6E0B-2CC6-4E23-A332-1DEDEFB336C4}">
      <text>
        <r>
          <rPr>
            <sz val="9"/>
            <color indexed="81"/>
            <rFont val="Tahoma"/>
            <charset val="1"/>
          </rPr>
          <t>Source: LiST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B2" authorId="0" shapeId="0" xr:uid="{B28A9CE5-BF55-4B98-86ED-1F76AC19A27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2" authorId="0" shapeId="0" xr:uid="{ED54E736-0061-42B4-89CD-6FD0B440719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2" authorId="0" shapeId="0" xr:uid="{2AE09380-A997-4AED-9F67-3EA457F2F9B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2" authorId="0" shapeId="0" xr:uid="{8428861D-4C48-498A-8292-FBD32EB35BB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2" authorId="0" shapeId="0" xr:uid="{0CDC6956-293A-44B8-9ABB-08507235798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3" authorId="0" shapeId="0" xr:uid="{8CBF7E55-5530-48B0-8C54-3D8231F1815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3" authorId="0" shapeId="0" xr:uid="{5E1BBC9D-36BE-47E0-9037-5F89BF26F96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3" authorId="0" shapeId="0" xr:uid="{93EB41C3-09CF-4776-866F-77DCC419D54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3" authorId="0" shapeId="0" xr:uid="{AE2BD74C-D7AB-4DD1-85F7-0460493C0B0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3" authorId="0" shapeId="0" xr:uid="{E09B9163-8FD3-4D82-80A1-136904D66CE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4" authorId="0" shapeId="0" xr:uid="{48A53C3E-B32D-4BEB-A2F7-5DC6693949B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4" authorId="0" shapeId="0" xr:uid="{CD702709-4819-4851-817B-78BC31CCCFC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4" authorId="0" shapeId="0" xr:uid="{3A3E92BD-13CB-4632-8F69-86CA5D9FA64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4" authorId="0" shapeId="0" xr:uid="{6814B011-F037-4ED6-AC32-073C8D31CE7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4" authorId="0" shapeId="0" xr:uid="{C9E658CA-D494-4A78-A4C1-49395C6B917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5" authorId="0" shapeId="0" xr:uid="{0D3FB4D6-984F-40D1-9D99-5E0DE2E98E5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5" authorId="0" shapeId="0" xr:uid="{68FF768B-27CC-4890-BDCF-5E0B263BE9E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5" authorId="0" shapeId="0" xr:uid="{B1BF409F-2371-4AAA-81DE-99AB3BD0A49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5" authorId="0" shapeId="0" xr:uid="{193CD60B-4041-45C3-BCFA-828F38138D1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5" authorId="0" shapeId="0" xr:uid="{16BF6493-9BC2-4E96-8D22-D3F62303162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6" authorId="0" shapeId="0" xr:uid="{EB68ED25-E4EF-4E35-8DBC-2DAAF1DE25F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6" authorId="0" shapeId="0" xr:uid="{F54E4860-A9AF-49F5-904F-61EB63627BC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6" authorId="0" shapeId="0" xr:uid="{92830912-CA15-4F26-ACE0-2F64801FF19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6" authorId="0" shapeId="0" xr:uid="{A4C4A1E2-1081-4A03-9C2C-264B01ECC04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6" authorId="0" shapeId="0" xr:uid="{A177AD8C-8F17-405A-9600-BAFEC875363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7" authorId="0" shapeId="0" xr:uid="{B0BAD015-58DF-4107-82A0-30CC51D1FF3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7" authorId="0" shapeId="0" xr:uid="{FCB1E189-EDD3-4BEE-ACB0-16A79F2C52A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7" authorId="0" shapeId="0" xr:uid="{74A64A14-20A2-4F68-B881-4F4245B6014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7" authorId="0" shapeId="0" xr:uid="{02772F49-F943-4899-A382-BF2F3C6A3B2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7" authorId="0" shapeId="0" xr:uid="{4DDE4504-0D9B-4DF9-BBAF-75F8202A003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8" authorId="0" shapeId="0" xr:uid="{51075E13-45E2-408E-9D73-9503073769D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8" authorId="0" shapeId="0" xr:uid="{88E7B026-9250-4CA9-8CD4-49D0CFC03ED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8" authorId="0" shapeId="0" xr:uid="{7F80BF7D-75BF-46A9-A14A-942A33E1EFB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8" authorId="0" shapeId="0" xr:uid="{BD27F203-FB0A-4721-BCEE-002D6BC0163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8" authorId="0" shapeId="0" xr:uid="{D5207EC8-1436-42BF-AB02-8B47B0DB0EB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9" authorId="0" shapeId="0" xr:uid="{2831070E-817F-46E0-BD0B-C79D5A8F44E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9" authorId="0" shapeId="0" xr:uid="{146B4D55-32BF-43CD-9250-A7DA9A68F02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9" authorId="0" shapeId="0" xr:uid="{06E0DB00-31E8-477C-97FB-E86AEE8ADC5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9" authorId="0" shapeId="0" xr:uid="{9010301A-1229-418E-9C85-CD84F26992E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9" authorId="0" shapeId="0" xr:uid="{400D92E5-837B-48E8-9D26-C1049FFD95B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0" authorId="0" shapeId="0" xr:uid="{8AF8FB58-9E6A-40C2-AB3A-135635CC07C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0" authorId="0" shapeId="0" xr:uid="{0A0C5081-1DBA-4E42-97ED-C5271BE7646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0" authorId="0" shapeId="0" xr:uid="{98DDD68F-DFFC-4E88-B371-2EBDC724C21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0" authorId="0" shapeId="0" xr:uid="{4F68EB04-BB61-4E85-9A52-8F66457FD4A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0" authorId="0" shapeId="0" xr:uid="{198D1B38-C1C7-4EF5-871A-7367DDFF822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1" authorId="0" shapeId="0" xr:uid="{8FA08941-0883-478F-8C80-2E5D87D00C4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1" authorId="0" shapeId="0" xr:uid="{0B4AC7C6-62BB-4667-92BE-7BDB2C1CB62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1" authorId="0" shapeId="0" xr:uid="{D2B39E49-9022-460C-966F-8591437B5B0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1" authorId="0" shapeId="0" xr:uid="{B83DAC86-CFF3-4CDC-BFD3-53E3281B66A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1" authorId="0" shapeId="0" xr:uid="{AE488D4D-9897-4B41-8C88-0F739F1D271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2" authorId="0" shapeId="0" xr:uid="{D3A32C67-D022-4555-BA78-61D57B3B29A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2" authorId="0" shapeId="0" xr:uid="{D225F6E8-12E3-4B67-984B-1D73E071648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2" authorId="0" shapeId="0" xr:uid="{6C426A13-0CE6-405D-B73E-C6A60B9C42E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2" authorId="0" shapeId="0" xr:uid="{363D6DBF-ACEB-40E2-8214-55CB99CE603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2" authorId="0" shapeId="0" xr:uid="{2C26539F-B079-44B1-846B-1E558B0EC07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3" authorId="0" shapeId="0" xr:uid="{DDA5D568-37D9-4FF4-8DFF-536B4FD36A5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3" authorId="0" shapeId="0" xr:uid="{9E6CFBF3-BF22-4F8A-BBB1-7F99A494259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3" authorId="0" shapeId="0" xr:uid="{EC4EC8F7-B7F0-4C84-AC3D-8AA808B3B6C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3" authorId="0" shapeId="0" xr:uid="{5BF3A207-64AB-469A-9934-A39C0F08047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3" authorId="0" shapeId="0" xr:uid="{1575CB7D-CBD6-432B-BF32-B24460DD359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4" authorId="0" shapeId="0" xr:uid="{EAC2B30F-C946-48A2-9E23-08D9A532FDF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4" authorId="0" shapeId="0" xr:uid="{B521CDEF-C882-4753-ACDD-F11483E5875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4" authorId="0" shapeId="0" xr:uid="{618BD370-5352-4677-8095-FB1204F4B37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4" authorId="0" shapeId="0" xr:uid="{FA24DE9A-4F65-4F4A-8DCB-2E325C8F20F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4" authorId="0" shapeId="0" xr:uid="{8151D6A0-E3F1-42A2-945D-A6E683D88AB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5" authorId="0" shapeId="0" xr:uid="{5604C487-1608-45DF-B476-DAE92D0B78D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5" authorId="0" shapeId="0" xr:uid="{6CD3AFB8-DB62-44B4-AFDC-2B84956A8D5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5" authorId="0" shapeId="0" xr:uid="{5546893F-80D7-4ECC-B5C8-A0434626A20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5" authorId="0" shapeId="0" xr:uid="{AB55D541-5038-4E0D-8444-FD14254602A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5" authorId="0" shapeId="0" xr:uid="{6EB76087-A484-4987-86E1-BE9655CFA18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3" authorId="0" shapeId="0" xr:uid="{89EA737C-D842-477D-90DA-9D476065918E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4" authorId="0" shapeId="0" xr:uid="{D09F3334-B12E-4950-9CDC-CB617B9AFAC6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" authorId="0" shapeId="0" xr:uid="{735483FF-0A6A-426D-A123-350D4BD596A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6" authorId="0" shapeId="0" xr:uid="{C8BA695F-D53A-476A-AED6-528FF463AC76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7" authorId="0" shapeId="0" xr:uid="{91BE9BF1-0C60-43B9-8EA3-2C6907A9744C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8" authorId="0" shapeId="0" xr:uid="{EA82A4D8-A303-4574-8AEE-DE8B80318AEB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9" authorId="0" shapeId="0" xr:uid="{8179DF4D-1434-436F-B22A-A0DCFEA68685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10" authorId="0" shapeId="0" xr:uid="{B6336A5D-A806-4FCD-B1A9-2F588AC49D6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14" authorId="0" shapeId="0" xr:uid="{F7EF8BEA-45FD-409C-9DF5-36D2A5C73282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4" authorId="0" shapeId="0" xr:uid="{48129DDC-E36E-4BD3-80AD-298CF7D619DE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4" authorId="0" shapeId="0" xr:uid="{70671E54-FDF2-435B-BF8A-AB77D2667639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4" authorId="0" shapeId="0" xr:uid="{F4A042A7-2811-4519-9555-05106E60EDB6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5" authorId="0" shapeId="0" xr:uid="{21400DE7-F762-43D9-8232-262E6550BE7B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5" authorId="0" shapeId="0" xr:uid="{A9A1E792-DA1A-4DC6-A077-583C810E7193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5" authorId="0" shapeId="0" xr:uid="{9E5ADD58-C7DA-4840-B507-41EB0FD00857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5" authorId="0" shapeId="0" xr:uid="{DAB6BF09-B4E7-4396-9AAD-6BA74180FCC1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6" authorId="0" shapeId="0" xr:uid="{F474F58A-4F97-468C-8FD3-31E117265E67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6" authorId="0" shapeId="0" xr:uid="{24BD52EF-CFFB-47BB-BA62-4890672AE0C2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6" authorId="0" shapeId="0" xr:uid="{BB6D1660-0951-4941-B04E-B5CC6B951B80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6" authorId="0" shapeId="0" xr:uid="{DD12EC58-43E6-4E42-8B20-7F6DEBA32278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7" authorId="0" shapeId="0" xr:uid="{F62481BF-7E62-40B0-84B7-CFDB09075878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7" authorId="0" shapeId="0" xr:uid="{81EB8156-15D3-4F35-994B-1EA01D2E02AB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7" authorId="0" shapeId="0" xr:uid="{FEB43B10-5399-4D25-89B9-1306209C195C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7" authorId="0" shapeId="0" xr:uid="{A2D80E35-66B0-4EDB-9CA6-C4986F2C229F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8" authorId="0" shapeId="0" xr:uid="{444652DA-C2BA-4C7C-B51C-08CFDD4A94F6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8" authorId="0" shapeId="0" xr:uid="{241FB531-C702-47FD-811F-B1D7B10F879D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8" authorId="0" shapeId="0" xr:uid="{DB8BE63A-A822-486E-9C3A-62AF7ABF7ADC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8" authorId="0" shapeId="0" xr:uid="{BD91E2B6-A883-4E6B-8F0D-B891984D6580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9" authorId="0" shapeId="0" xr:uid="{4CF8E7E4-2088-4B7C-A335-943930746A48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9" authorId="0" shapeId="0" xr:uid="{E952D0E1-FA0F-4B12-BC4D-41F06D265332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9" authorId="0" shapeId="0" xr:uid="{69294E3B-6862-444F-ADDA-A5071057F7E2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9" authorId="0" shapeId="0" xr:uid="{D6B59A98-09BA-4D25-B720-5324FA61D6E8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0" authorId="0" shapeId="0" xr:uid="{6EDFBA00-85E0-4DF2-B777-0F49D029911A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20" authorId="0" shapeId="0" xr:uid="{66A1FD39-F5C6-4E4A-B503-D9E376842E4F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20" authorId="0" shapeId="0" xr:uid="{FE0541EE-828D-4584-B330-6575B5B7694D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20" authorId="0" shapeId="0" xr:uid="{9D9C9F0D-2E27-4EB0-9596-1A676FED46B7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1" authorId="0" shapeId="0" xr:uid="{13F94CE1-7D7A-4900-8E9F-88154D6F6306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21" authorId="0" shapeId="0" xr:uid="{443F8D31-00F1-4DBF-9322-98760A68CC37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21" authorId="0" shapeId="0" xr:uid="{99A328C5-0F8B-4B01-A45C-74CB15A30DB6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21" authorId="0" shapeId="0" xr:uid="{102973D0-1572-49D9-9FD7-7B9131BB70CD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2" authorId="0" shapeId="0" xr:uid="{7494A13B-4FB2-4D45-9AB2-9CE216C912BB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22" authorId="0" shapeId="0" xr:uid="{945129EC-8C7E-47AE-AE8C-4D5671BBBEFC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22" authorId="0" shapeId="0" xr:uid="{0C935543-46AF-41E5-864F-ED4E3EAAFD2E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22" authorId="0" shapeId="0" xr:uid="{0BE063D1-7800-492C-BD81-78CDE900B083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6" authorId="0" shapeId="0" xr:uid="{E8E3DD1A-BC04-4C93-A6DA-8668561E1BC3}">
      <text>
        <r>
          <rPr>
            <sz val="9"/>
            <color indexed="81"/>
            <rFont val="Tahoma"/>
            <charset val="1"/>
          </rPr>
          <t>Source: LiST</t>
        </r>
      </text>
    </comment>
    <comment ref="C27" authorId="0" shapeId="0" xr:uid="{443DB8C8-076A-4809-B1F4-A81C4D7912C6}">
      <text>
        <r>
          <rPr>
            <sz val="9"/>
            <color indexed="81"/>
            <rFont val="Tahoma"/>
            <charset val="1"/>
          </rPr>
          <t>Source: LiST</t>
        </r>
      </text>
    </comment>
    <comment ref="C28" authorId="0" shapeId="0" xr:uid="{12751A75-662E-4D7A-9C0E-A7E22CA735AC}">
      <text>
        <r>
          <rPr>
            <sz val="9"/>
            <color indexed="81"/>
            <rFont val="Tahoma"/>
            <charset val="1"/>
          </rPr>
          <t>Source: LiST</t>
        </r>
      </text>
    </comment>
    <comment ref="C29" authorId="0" shapeId="0" xr:uid="{990F48D3-1F83-41CF-BA40-D7ABB0877115}">
      <text>
        <r>
          <rPr>
            <sz val="9"/>
            <color indexed="81"/>
            <rFont val="Tahoma"/>
            <charset val="1"/>
          </rPr>
          <t>Source: LiST</t>
        </r>
      </text>
    </comment>
    <comment ref="C30" authorId="0" shapeId="0" xr:uid="{7D36CC57-8E1D-441B-A59F-791C2B89C923}">
      <text>
        <r>
          <rPr>
            <sz val="9"/>
            <color indexed="81"/>
            <rFont val="Tahoma"/>
            <charset val="1"/>
          </rPr>
          <t>Source: LiST</t>
        </r>
      </text>
    </comment>
    <comment ref="C31" authorId="0" shapeId="0" xr:uid="{BE132C3A-0A48-44E6-8505-0A04A1109C8C}">
      <text>
        <r>
          <rPr>
            <sz val="9"/>
            <color indexed="81"/>
            <rFont val="Tahoma"/>
            <charset val="1"/>
          </rPr>
          <t>Source: LiST</t>
        </r>
      </text>
    </comment>
    <comment ref="C32" authorId="0" shapeId="0" xr:uid="{43D6323C-0CBF-4041-AB20-0565D132A114}">
      <text>
        <r>
          <rPr>
            <sz val="9"/>
            <color indexed="81"/>
            <rFont val="Tahoma"/>
            <charset val="1"/>
          </rPr>
          <t>Source: LiST</t>
        </r>
      </text>
    </comment>
    <comment ref="C33" authorId="0" shapeId="0" xr:uid="{22914262-B77A-4570-90AD-9319D5639BDC}">
      <text>
        <r>
          <rPr>
            <sz val="9"/>
            <color indexed="81"/>
            <rFont val="Tahoma"/>
            <charset val="1"/>
          </rPr>
          <t>Source: LiST</t>
        </r>
      </text>
    </comment>
    <comment ref="C34" authorId="0" shapeId="0" xr:uid="{138A9FF1-6561-4497-8D36-B63C3A531F9A}">
      <text>
        <r>
          <rPr>
            <sz val="9"/>
            <color indexed="81"/>
            <rFont val="Tahoma"/>
            <charset val="1"/>
          </rPr>
          <t>Source: 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2" authorId="0" shapeId="0" xr:uid="{96697888-7203-45AD-87B7-AB007F3F0723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2" authorId="0" shapeId="0" xr:uid="{AD6FA6D6-5A80-4685-BAAB-4C7D829D820D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2" authorId="0" shapeId="0" xr:uid="{7EC6F460-B486-43FC-8733-46586A514277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2" authorId="0" shapeId="0" xr:uid="{2C60ADE5-B10B-4BF4-993D-C4C28B683285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2" authorId="0" shapeId="0" xr:uid="{E84D6241-4A03-4936-AC9F-9AB43BFE607B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3" authorId="0" shapeId="0" xr:uid="{1BD59D9E-4249-4499-9719-D273627B1277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3" authorId="0" shapeId="0" xr:uid="{7E4D926E-ED6B-457D-A9EC-D041D3C47CCB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3" authorId="0" shapeId="0" xr:uid="{0BF759C0-5565-4588-B3B4-CF2DDDBAE60C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3" authorId="0" shapeId="0" xr:uid="{FFBD019D-BD16-40C4-955D-ADF5F91EAC49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3" authorId="0" shapeId="0" xr:uid="{BEF194F9-7F3F-41B7-8E89-1A9AF796A225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4" authorId="0" shapeId="0" xr:uid="{753848B7-C48A-47EF-ABE7-8BE31225A3CB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4" authorId="0" shapeId="0" xr:uid="{D2F95A48-0CD6-4397-8BB8-2A260BEAA0B6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4" authorId="0" shapeId="0" xr:uid="{E1FA671F-D45E-4F55-9E9A-3A4E85DB70F6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4" authorId="0" shapeId="0" xr:uid="{730CB05E-3B3F-4320-B6A4-2A8D2B95FA38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4" authorId="0" shapeId="0" xr:uid="{DB1D42BD-B300-471D-8F4F-B44E695C060F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5" authorId="0" shapeId="0" xr:uid="{1DCC73B7-89B5-4FBC-AF44-F14593FC5D07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5" authorId="0" shapeId="0" xr:uid="{1F2D6F81-6B15-46EB-9A72-B950E510B051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5" authorId="0" shapeId="0" xr:uid="{7119C8C8-D497-4ADC-91B6-0F27F51E2DE6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5" authorId="0" shapeId="0" xr:uid="{B4DB4F73-8F97-472B-88F1-4FD0C7E8AC6F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5" authorId="0" shapeId="0" xr:uid="{CA4279B7-6936-4459-A8AB-B9F569A327C0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8" authorId="0" shapeId="0" xr:uid="{9AFE6698-87F4-4956-B6BD-6C02874000E2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8" authorId="0" shapeId="0" xr:uid="{011C727F-19FA-435A-A8A6-42B350A29BA2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8" authorId="0" shapeId="0" xr:uid="{FD916669-BABF-417B-AFD4-98FE3EFFC1C7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8" authorId="0" shapeId="0" xr:uid="{EA9733E6-B6FA-400A-A4AB-F6DC4B80E97A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8" authorId="0" shapeId="0" xr:uid="{FE1E77F0-450E-4950-A532-18BAE725803E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9" authorId="0" shapeId="0" xr:uid="{4410E287-03AF-4F70-958B-791E0BDFDCBD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9" authorId="0" shapeId="0" xr:uid="{E50D20CA-AC2C-4E8E-A5A6-FE9247B71745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9" authorId="0" shapeId="0" xr:uid="{D081BF05-B506-4F62-A7DE-A9529EE36224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9" authorId="0" shapeId="0" xr:uid="{607BB68A-1F4B-403F-86E7-15CA8612913D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9" authorId="0" shapeId="0" xr:uid="{0D3EB117-A348-4D73-B0BF-7ABBDCF83D94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10" authorId="0" shapeId="0" xr:uid="{BA8BAD9F-CDC6-4050-AFC9-6C61A4685825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10" authorId="0" shapeId="0" xr:uid="{49C60D38-F792-4332-9DB5-29B367322416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10" authorId="0" shapeId="0" xr:uid="{9E25FE9F-19CF-462C-80F6-8BF05F68309C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10" authorId="0" shapeId="0" xr:uid="{80F9C385-FE16-43B4-8318-951BA2EF9E78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10" authorId="0" shapeId="0" xr:uid="{E6C7090F-4248-4A48-9ED3-6E7C6F371A74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11" authorId="0" shapeId="0" xr:uid="{F615FEA1-DF0C-4DEC-A8A6-1DA45637144A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11" authorId="0" shapeId="0" xr:uid="{4BCFD7A6-AB51-432D-9E9A-FEAD8AFF9970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11" authorId="0" shapeId="0" xr:uid="{B37AC700-23AB-416C-8382-2E81C01AE2DB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11" authorId="0" shapeId="0" xr:uid="{BBA816EE-EFB3-446C-9CF0-5604599881D9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11" authorId="0" shapeId="0" xr:uid="{DC787F29-52F6-41B9-BC65-E710E4C8DA42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14" authorId="0" shapeId="0" xr:uid="{35E1E5F8-7916-4E9C-9AF9-54D551A18DE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14" authorId="0" shapeId="0" xr:uid="{1FDA3EB2-0FC5-404F-9BA9-2E2FF2B526E6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4" authorId="0" shapeId="0" xr:uid="{07DA4B17-4FCE-418A-8249-FA140FE5DAA7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F14" authorId="0" shapeId="0" xr:uid="{0176C1DD-5743-4125-B5F9-4AB8E2E08663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G14" authorId="0" shapeId="0" xr:uid="{9A9C4C97-962C-47E4-811F-6E2E26ADCFD1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H14" authorId="0" shapeId="0" xr:uid="{EC19FF32-91AC-4B52-8AD1-09522E0D7778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I14" authorId="0" shapeId="0" xr:uid="{42EA5E64-EF54-400E-B42D-42B892E94776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J14" authorId="0" shapeId="0" xr:uid="{73126253-2268-4288-AA0F-6C1E48CD8AE1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K14" authorId="0" shapeId="0" xr:uid="{A70B9E7D-0DBF-4904-9AED-68800C142249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L14" authorId="0" shapeId="0" xr:uid="{96EF5417-C280-4EB6-BE4F-B059D09186F5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14" authorId="0" shapeId="0" xr:uid="{54337975-0885-42FB-8666-1B0581BBDFDB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14" authorId="0" shapeId="0" xr:uid="{EFB397F6-0E9A-4015-9DE0-92698D3D6A3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14" authorId="0" shapeId="0" xr:uid="{1B37E8AA-0AB5-40BD-861D-BA12E689F6B6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  <author>Dominic Delport</author>
  </authors>
  <commentList>
    <comment ref="C2" authorId="0" shapeId="0" xr:uid="{4908097C-2B21-4FD2-B61F-D01A387110BF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D2" authorId="0" shapeId="0" xr:uid="{1A9F071D-AAAF-4F09-8377-2BC323CF469A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G2" authorId="1" shapeId="0" xr:uid="{6B0A09E8-7C93-4372-8C15-8B0F45D5AEFD}">
      <text>
        <r>
          <rPr>
            <sz val="9"/>
            <color indexed="81"/>
            <rFont val="Tahoma"/>
            <family val="2"/>
          </rPr>
          <t xml:space="preserve">No data available
</t>
        </r>
      </text>
    </comment>
    <comment ref="C3" authorId="0" shapeId="0" xr:uid="{135CF270-B4FE-4946-9366-684C7B9AACFF}">
      <text>
        <r>
          <rPr>
            <sz val="9"/>
            <color indexed="81"/>
            <rFont val="Tahoma"/>
            <charset val="1"/>
          </rPr>
          <t>Source: LiST</t>
        </r>
      </text>
    </comment>
    <comment ref="D3" authorId="0" shapeId="0" xr:uid="{3913861B-66DF-4A94-9EBC-F072ACF15B75}">
      <text>
        <r>
          <rPr>
            <sz val="9"/>
            <color indexed="81"/>
            <rFont val="Tahoma"/>
            <charset val="1"/>
          </rPr>
          <t>Source: LiST</t>
        </r>
      </text>
    </comment>
    <comment ref="G3" authorId="1" shapeId="0" xr:uid="{F82038E1-BF1B-4424-AEC2-4BAF11F0EBE0}">
      <text>
        <r>
          <rPr>
            <sz val="9"/>
            <color indexed="81"/>
            <rFont val="Tahoma"/>
            <family val="2"/>
          </rPr>
          <t xml:space="preserve">No data available
</t>
        </r>
      </text>
    </comment>
    <comment ref="C4" authorId="0" shapeId="0" xr:uid="{E7A1825A-7CB3-4043-86E2-1D5567C5B9F2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D4" authorId="0" shapeId="0" xr:uid="{2E308C5F-6127-472A-AFDF-2B6B6EC27097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E4" authorId="0" shapeId="0" xr:uid="{3E4058A2-D461-4E35-9630-2B4E8DB6EE4A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F4" authorId="0" shapeId="0" xr:uid="{D4347316-C9F2-421B-B78D-4F501EFE210B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G4" authorId="1" shapeId="0" xr:uid="{FAE873A1-7BE6-4206-AB91-1C6BBEAAB062}">
      <text>
        <r>
          <rPr>
            <sz val="9"/>
            <color indexed="81"/>
            <rFont val="Tahoma"/>
            <family val="2"/>
          </rPr>
          <t xml:space="preserve">No data available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2" authorId="0" shapeId="0" xr:uid="{99E481BC-9E47-42FC-ADB1-367D3351A645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2" authorId="0" shapeId="0" xr:uid="{13663D22-97F9-47E8-ADA8-EEEFD24AE3C6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E2" authorId="0" shapeId="0" xr:uid="{EB7B2A4D-5334-4A92-B784-9D3630A7DE4C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F2" authorId="0" shapeId="0" xr:uid="{EEF6F472-13B7-40BC-9924-1AD7A0D76EB3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G2" authorId="0" shapeId="0" xr:uid="{60636BCB-800C-4F28-9E5C-EA03C6571212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H2" authorId="0" shapeId="0" xr:uid="{C69280EE-F66C-4352-8162-662BDB81E2EC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I2" authorId="0" shapeId="0" xr:uid="{DEA0526F-846D-41D7-9D4D-B5B71768939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J2" authorId="0" shapeId="0" xr:uid="{DC04E386-31A9-443C-9166-A373E730EE38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K2" authorId="0" shapeId="0" xr:uid="{8495A4BA-A642-44E8-810D-DFCDF21E8272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L2" authorId="0" shapeId="0" xr:uid="{207CE7B7-A88D-4CFD-9453-A3A5F93C576D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2" authorId="0" shapeId="0" xr:uid="{EC910E4D-C9AF-4F96-B909-374AEB50188A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2" authorId="0" shapeId="0" xr:uid="{5EE0B78E-8822-434B-A9CB-A5BFD56A8EB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2" authorId="0" shapeId="0" xr:uid="{45150191-F691-4A28-A038-5A593EEBE53E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P2" authorId="0" shapeId="0" xr:uid="{3C0BB54D-A1FD-4313-B962-6EF24F4D6605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4" authorId="0" shapeId="0" xr:uid="{95F88F78-6C7B-4C53-9616-7EBC841D016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4" authorId="0" shapeId="0" xr:uid="{F7D40A4B-5621-446F-A5B2-BFA307C68DC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E4" authorId="0" shapeId="0" xr:uid="{8CFC5E46-EE54-4D9E-97DB-19A3588628F8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F4" authorId="0" shapeId="0" xr:uid="{C69523D7-F8F3-40E0-9CC9-8AFB9A0ABFEA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G4" authorId="0" shapeId="0" xr:uid="{C4564547-6BBC-4CDA-A675-B7BEB6FDD3CB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H4" authorId="0" shapeId="0" xr:uid="{AE7C0637-EF61-4479-926A-C38758347ABE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I4" authorId="0" shapeId="0" xr:uid="{6D631A0A-50D8-4479-BD4D-D1121697240B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J4" authorId="0" shapeId="0" xr:uid="{2E0F4DC8-B573-4936-AE8F-3B2B1A7C1F26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K4" authorId="0" shapeId="0" xr:uid="{EC5B0A1E-4E71-48CC-8D75-0579AE319E52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L4" authorId="0" shapeId="0" xr:uid="{5B4A9054-D0FB-4B8D-A3E3-ADB985AE24AE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4" authorId="0" shapeId="0" xr:uid="{5115E314-E6EB-4B29-8A32-01BA873C1EF1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4" authorId="0" shapeId="0" xr:uid="{0D793EB3-8A1D-4EFA-97C1-BE28B27E4EAE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4" authorId="0" shapeId="0" xr:uid="{DD77EB68-DED4-4798-A5AC-660A0ABBF96C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P4" authorId="0" shapeId="0" xr:uid="{E21A5DA6-1EA1-4A4B-84A7-F2331487E43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13" authorId="0" shapeId="0" xr:uid="{352C4124-7BD5-4ABB-AF5D-8C6526412544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13" authorId="0" shapeId="0" xr:uid="{A936876F-F2C0-40F0-9260-0A5CD00CE6EE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E13" authorId="0" shapeId="0" xr:uid="{0681BD6A-E5A5-4341-8231-9B485833E225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F13" authorId="0" shapeId="0" xr:uid="{7473F17F-C4EC-41F8-ABEB-FC3629BF7A8A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G13" authorId="0" shapeId="0" xr:uid="{D366FE29-2C14-4BC3-8DC8-213B3936E98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H13" authorId="0" shapeId="0" xr:uid="{FB96BB3B-E10E-4ED1-8DA9-5C89EAB5E66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I13" authorId="0" shapeId="0" xr:uid="{63DC4730-8F04-404B-9647-BC79746154BA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J13" authorId="0" shapeId="0" xr:uid="{8D4B6A2D-22A6-452F-9FF6-61D3AF17A9F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K13" authorId="0" shapeId="0" xr:uid="{898C0D0A-0AB4-40FF-9D4B-8FA39D4E915E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L13" authorId="0" shapeId="0" xr:uid="{C95512CB-6886-48E6-87BE-2E9DE0936EDB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13" authorId="0" shapeId="0" xr:uid="{6CC4D4EC-D2E2-4C67-A568-81FC30B9840A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13" authorId="0" shapeId="0" xr:uid="{9118FB28-0E8D-44E5-86AC-F0B11E743C2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13" authorId="0" shapeId="0" xr:uid="{1355A28E-5428-4039-B763-39A5E669D5CC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P13" authorId="0" shapeId="0" xr:uid="{5B6072CA-C2D3-4279-8EE2-575FFCC434E3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B2" authorId="0" shapeId="0" xr:uid="{1185FE5B-900F-4B9D-87CF-F300B7AE1129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2" authorId="0" shapeId="0" xr:uid="{DF399E83-4E75-4D33-AA26-6CD44B10FD7D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3" authorId="0" shapeId="0" xr:uid="{94BFD203-7AFB-4D1E-A53D-4A90326240F7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3" authorId="0" shapeId="0" xr:uid="{54ACE075-4DF7-4E19-9298-C2A3B03BF650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D4" authorId="0" shapeId="0" xr:uid="{A096C251-B76B-4654-B125-F04F3224510E}">
      <text>
        <r>
          <rPr>
            <sz val="9"/>
            <color indexed="81"/>
            <rFont val="Tahoma"/>
            <charset val="1"/>
          </rPr>
          <t>Source: 10% of GDP per capita</t>
        </r>
      </text>
    </comment>
    <comment ref="D5" authorId="0" shapeId="0" xr:uid="{30EEE2EB-C939-4A7A-A38B-5534F8A19BBD}">
      <text>
        <r>
          <rPr>
            <sz val="9"/>
            <color indexed="81"/>
            <rFont val="Tahoma"/>
            <charset val="1"/>
          </rPr>
          <t>Source: Personnel wages based on 2016 GDP per capita and time requirements estimated by authors</t>
        </r>
      </text>
    </comment>
    <comment ref="B7" authorId="0" shapeId="0" xr:uid="{A2E8CC6C-99CC-4B2B-BE2F-83BC65146014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7" authorId="0" shapeId="0" xr:uid="{50BB592A-F9D2-4807-A2DB-2300C2F63AD3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8" authorId="0" shapeId="0" xr:uid="{57D30C3D-4CEF-42F1-8A9C-9455A748BBEB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8" authorId="0" shapeId="0" xr:uid="{A7EFBA5A-8403-4314-99CA-D8D3C2C7E948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9" authorId="0" shapeId="0" xr:uid="{FFAFE0AB-F5D4-4BE7-9DE5-7F7AFB3981ED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9" authorId="0" shapeId="0" xr:uid="{39910BB7-DC31-444C-A56E-34F09C31822D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10" authorId="0" shapeId="0" xr:uid="{147FCB39-C463-454A-848E-287BB28EAFAF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0" authorId="0" shapeId="0" xr:uid="{478A1BF3-92F9-4A09-8DB0-40FFD3904705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1" authorId="0" shapeId="0" xr:uid="{E108ACDF-4285-4B07-BD8B-5DE3B5E350CC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1" authorId="0" shapeId="0" xr:uid="{EA09B0FE-FB85-41C4-BE04-1426518BA8A7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2" authorId="0" shapeId="0" xr:uid="{DCDE3F05-150E-41F1-A271-28F36AE8D8C7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2" authorId="0" shapeId="0" xr:uid="{9ADF66C8-9DB6-4656-B6D0-D2DFD0BA000A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3" authorId="0" shapeId="0" xr:uid="{C62221A3-115E-489C-8966-F56AB1967AA8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3" authorId="0" shapeId="0" xr:uid="{B9AC72AB-EFDA-4285-BB02-24FA9D791797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4" authorId="0" shapeId="0" xr:uid="{F33AA434-875E-4066-B909-C3C4D6231DB6}">
      <text>
        <r>
          <rPr>
            <sz val="9"/>
            <color indexed="81"/>
            <rFont val="Tahoma"/>
            <charset val="1"/>
          </rPr>
          <t>Source: LiST</t>
        </r>
      </text>
    </comment>
    <comment ref="D14" authorId="0" shapeId="0" xr:uid="{202C4810-D4A1-4EB8-92F1-7BB67B48CEAF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5" authorId="0" shapeId="0" xr:uid="{E5698C11-93A8-4D14-ADB0-7ACDB57D1CB7}">
      <text>
        <r>
          <rPr>
            <sz val="9"/>
            <color indexed="81"/>
            <rFont val="Tahoma"/>
            <charset val="1"/>
          </rPr>
          <t>Source: LiST</t>
        </r>
      </text>
    </comment>
    <comment ref="D15" authorId="0" shapeId="0" xr:uid="{A6B5D672-FB15-4E25-B4CA-71FD4C527F35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6" authorId="0" shapeId="0" xr:uid="{0154693B-17D2-4939-A77B-563D161F9C3D}">
      <text>
        <r>
          <rPr>
            <sz val="9"/>
            <color indexed="81"/>
            <rFont val="Tahoma"/>
            <charset val="1"/>
          </rPr>
          <t>Source: LiST</t>
        </r>
      </text>
    </comment>
    <comment ref="D16" authorId="0" shapeId="0" xr:uid="{943617E0-5950-4734-A926-C510EBA473FC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7" authorId="0" shapeId="0" xr:uid="{C7338856-7BA5-4C19-9E4F-7CAB2831E9E7}">
      <text>
        <r>
          <rPr>
            <sz val="9"/>
            <color indexed="81"/>
            <rFont val="Tahoma"/>
            <charset val="1"/>
          </rPr>
          <t>Source: UNICEF State of the World's Children coverage map 2017 &lt;http://www.ign.org/cm_data/UNICEF_map.jpg&gt;</t>
        </r>
      </text>
    </comment>
    <comment ref="D17" authorId="0" shapeId="0" xr:uid="{DEC13892-6B84-4C47-BA48-74989C58585D}">
      <text>
        <r>
          <rPr>
            <sz val="9"/>
            <color indexed="81"/>
            <rFont val="Tahoma"/>
            <charset val="1"/>
          </rPr>
          <t>Source: Costing based upon estimates by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8" authorId="0" shapeId="0" xr:uid="{8C097433-76E8-4127-9964-1C3EF49D8420}">
      <text>
        <r>
          <rPr>
            <sz val="9"/>
            <color indexed="81"/>
            <rFont val="Tahoma"/>
            <charset val="1"/>
          </rPr>
          <t>Source: LiST</t>
        </r>
      </text>
    </comment>
    <comment ref="D18" authorId="0" shapeId="0" xr:uid="{48CB59FD-E299-4FEF-B836-7D3A82D82584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19" authorId="0" shapeId="0" xr:uid="{60B273CF-ED78-49EE-A5CC-8E0BE404BB72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20" authorId="0" shapeId="0" xr:uid="{E670B637-5B95-4020-87E4-94BC172E48E1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21" authorId="0" shapeId="0" xr:uid="{4BCC3AD4-0FDE-4246-9F47-C6A9ABFD618E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21" authorId="0" shapeId="0" xr:uid="{6D1F0D7B-90DE-4ABB-A701-14B844F1C542}">
      <text>
        <r>
          <rPr>
            <sz val="9"/>
            <color indexed="81"/>
            <rFont val="Tahoma"/>
            <charset val="1"/>
          </rPr>
          <t>Source: Personnel wages based on 2016 GDP per capita and time requirements estimated by authors</t>
        </r>
      </text>
    </comment>
    <comment ref="D22" authorId="0" shapeId="0" xr:uid="{ECB27DCA-089C-4D3D-9189-E369B54749A7}">
      <text>
        <r>
          <rPr>
            <sz val="9"/>
            <color indexed="81"/>
            <rFont val="Tahoma"/>
            <charset val="1"/>
          </rPr>
          <t xml:space="preserve">Source: </t>
        </r>
      </text>
    </comment>
    <comment ref="B23" authorId="0" shapeId="0" xr:uid="{B84C8AE8-4842-47E0-9265-B910A3B5D432}">
      <text>
        <r>
          <rPr>
            <sz val="9"/>
            <color indexed="81"/>
            <rFont val="Tahoma"/>
            <charset val="1"/>
          </rPr>
          <t>Source: LiST</t>
        </r>
      </text>
    </comment>
    <comment ref="D23" authorId="0" shapeId="0" xr:uid="{25AD71DC-EA79-4ADC-8FB5-34D7DE4B70AE}">
      <text>
        <r>
          <rPr>
            <sz val="9"/>
            <color indexed="81"/>
            <rFont val="Tahoma"/>
            <charset val="1"/>
          </rPr>
          <t>Source: Material costs taken from 2014 WHO International Drug Pricing &lt;http://apps.who.int/medicinedocs/documents/s21982en/s21982en.pdf&gt;,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4" authorId="0" shapeId="0" xr:uid="{DE521030-4AB1-4551-88D0-8AA6141B3412}">
      <text>
        <r>
          <rPr>
            <sz val="9"/>
            <color indexed="81"/>
            <rFont val="Tahoma"/>
            <charset val="1"/>
          </rPr>
          <t>Source: LiST</t>
        </r>
      </text>
    </comment>
    <comment ref="D24" authorId="0" shapeId="0" xr:uid="{92787706-6345-455B-A20D-C4F167BEF851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5" authorId="0" shapeId="0" xr:uid="{954599EA-72B4-4E83-B121-A259BC1015EB}">
      <text>
        <r>
          <rPr>
            <sz val="9"/>
            <color indexed="81"/>
            <rFont val="Tahoma"/>
            <charset val="1"/>
          </rPr>
          <t>Source: LiST</t>
        </r>
      </text>
    </comment>
    <comment ref="D25" authorId="0" shapeId="0" xr:uid="{D7B72F29-6FDF-4861-A368-8724FD247E01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6" authorId="0" shapeId="0" xr:uid="{06897728-1101-4988-BED2-DE1DD5489D08}">
      <text>
        <r>
          <rPr>
            <sz val="9"/>
            <color indexed="81"/>
            <rFont val="Tahoma"/>
            <charset val="1"/>
          </rPr>
          <t>Source: LiST</t>
        </r>
      </text>
    </comment>
    <comment ref="D26" authorId="0" shapeId="0" xr:uid="{02537B5F-5DFA-45F3-9178-979900D585CB}">
      <text>
        <r>
          <rPr>
            <sz val="9"/>
            <color indexed="81"/>
            <rFont val="Tahoma"/>
            <charset val="1"/>
          </rPr>
          <t>Source: Drug dosages taken from WHO eLENA, drug costs taken from UNICEF pricing list at &lt;https://www.unicef.org/supply/files/Micro_Nutrient_Powder_-_September_2016(1).pdf&gt;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7" authorId="0" shapeId="0" xr:uid="{85585CA2-10B9-4AB0-9C07-B70D83B5D3FC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27" authorId="0" shapeId="0" xr:uid="{F9800C1D-0D76-4E9B-9D01-A2DFE823110A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28" authorId="0" shapeId="0" xr:uid="{3D211FE9-E4E9-4248-ADE7-80B15118AD4C}">
      <text>
        <r>
          <rPr>
            <sz val="9"/>
            <color indexed="81"/>
            <rFont val="Tahoma"/>
            <charset val="1"/>
          </rPr>
          <t>Source: LiST/DHS (Country level)</t>
        </r>
      </text>
    </comment>
    <comment ref="D28" authorId="0" shapeId="0" xr:uid="{80F60EA9-B246-4BB1-9484-EB92BC8C7282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9" authorId="0" shapeId="0" xr:uid="{5C395865-536A-403A-BA57-5D29785EBB2E}">
      <text>
        <r>
          <rPr>
            <sz val="9"/>
            <color indexed="81"/>
            <rFont val="Tahoma"/>
            <charset val="1"/>
          </rPr>
          <t>Source: LiST</t>
        </r>
      </text>
    </comment>
    <comment ref="D29" authorId="0" shapeId="0" xr:uid="{D544FEB2-CF9A-4ED8-B681-5E85B4AFC1C6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30" authorId="0" shapeId="0" xr:uid="{E906025C-0480-4166-9F51-4FBE0CAD2161}">
      <text>
        <r>
          <rPr>
            <sz val="9"/>
            <color indexed="81"/>
            <rFont val="Tahoma"/>
            <charset val="1"/>
          </rPr>
          <t>Source: LiST</t>
        </r>
      </text>
    </comment>
    <comment ref="D30" authorId="0" shapeId="0" xr:uid="{90F89FFE-6757-462E-AFB3-7F3F3812DF94}">
      <text>
        <r>
          <rPr>
            <sz val="9"/>
            <color indexed="81"/>
            <rFont val="Tahoma"/>
            <charset val="1"/>
          </rPr>
          <t xml:space="preserve">Source: </t>
        </r>
      </text>
    </comment>
    <comment ref="B31" authorId="0" shapeId="0" xr:uid="{E0D5D5E2-0EE7-487D-834D-DF9593FF8347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D31" authorId="0" shapeId="0" xr:uid="{4233F6A7-B788-40D8-BFFC-3C2FE1DDE8E1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32" authorId="0" shapeId="0" xr:uid="{08D82F5D-0136-469E-BB96-AA90E58F77AB}">
      <text>
        <r>
          <rPr>
            <sz val="9"/>
            <color indexed="81"/>
            <rFont val="Tahoma"/>
            <charset val="1"/>
          </rPr>
          <t>Source: LiST</t>
        </r>
      </text>
    </comment>
    <comment ref="B33" authorId="0" shapeId="0" xr:uid="{B50242ED-3787-4CDB-8093-03C7A7786F7C}">
      <text>
        <r>
          <rPr>
            <sz val="9"/>
            <color indexed="81"/>
            <rFont val="Tahoma"/>
            <charset val="1"/>
          </rPr>
          <t>Source: LiST</t>
        </r>
      </text>
    </comment>
    <comment ref="B34" authorId="0" shapeId="0" xr:uid="{781CE1CA-2539-4864-85EA-CF81C9571D51}">
      <text>
        <r>
          <rPr>
            <sz val="9"/>
            <color indexed="81"/>
            <rFont val="Tahoma"/>
            <charset val="1"/>
          </rPr>
          <t>Source: LiST</t>
        </r>
      </text>
    </comment>
    <comment ref="B35" authorId="0" shapeId="0" xr:uid="{F43C22A9-5470-4ED1-94B2-0324D01237DE}">
      <text>
        <r>
          <rPr>
            <sz val="9"/>
            <color indexed="81"/>
            <rFont val="Tahoma"/>
            <charset val="1"/>
          </rPr>
          <t>Source: LiST</t>
        </r>
      </text>
    </comment>
    <comment ref="B36" authorId="0" shapeId="0" xr:uid="{14D46A3E-0FC8-4AA8-843C-336031271ECA}">
      <text>
        <r>
          <rPr>
            <sz val="9"/>
            <color indexed="81"/>
            <rFont val="Tahoma"/>
            <charset val="1"/>
          </rPr>
          <t>Source: LiST</t>
        </r>
      </text>
    </comment>
    <comment ref="B37" authorId="0" shapeId="0" xr:uid="{DCB84EEF-123A-4B19-883F-CFBC823AC6DE}">
      <text>
        <r>
          <rPr>
            <sz val="9"/>
            <color indexed="81"/>
            <rFont val="Tahoma"/>
            <charset val="1"/>
          </rPr>
          <t>Source: LiST</t>
        </r>
      </text>
    </comment>
    <comment ref="D37" authorId="0" shapeId="0" xr:uid="{F956D8E6-57E7-43FB-A6DC-2CD38329E382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38" authorId="0" shapeId="0" xr:uid="{5EB20CB6-0225-4FD3-9DEB-C9C0A408178C}">
      <text>
        <r>
          <rPr>
            <sz val="9"/>
            <color indexed="81"/>
            <rFont val="Tahoma"/>
            <charset val="1"/>
          </rPr>
          <t>Source: DHS</t>
        </r>
      </text>
    </comment>
    <comment ref="D38" authorId="0" shapeId="0" xr:uid="{82CA9D53-3928-449E-A8B4-E6BE3BC1E8F1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A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<sst xmlns="http://schemas.openxmlformats.org/spreadsheetml/2006/main" count="1102" uniqueCount="271">
  <si>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</si>
  <si>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</si>
  <si>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</si>
  <si>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</si>
  <si>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</si>
  <si>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</si>
  <si>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</si>
  <si>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</si>
  <si>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</si>
  <si>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</si>
  <si>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</si>
  <si>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</si>
  <si>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</si>
  <si>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</si>
  <si>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</si>
  <si>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</si>
  <si>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</si>
  <si>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</si>
  <si>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</si>
  <si>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</si>
  <si>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</si>
  <si>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</si>
  <si>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</si>
  <si>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</si>
  <si>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</si>
  <si>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</si>
  <si>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</si>
  <si>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</si>
  <si>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</si>
  <si>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</si>
  <si>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</si>
  <si>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</si>
  <si>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</si>
  <si>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</si>
  <si>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</si>
  <si>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</si>
  <si>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</si>
  <si>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</si>
  <si>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</si>
  <si>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</si>
  <si>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</si>
  <si>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</si>
  <si>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</si>
  <si>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</si>
  <si>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</si>
  <si>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</si>
  <si>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</si>
  <si>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</si>
  <si>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</si>
  <si>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</si>
  <si>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</si>
  <si>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</si>
  <si>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</si>
  <si>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</si>
  <si>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</si>
  <si>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</si>
  <si>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</si>
  <si>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</si>
  <si>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</si>
  <si>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</si>
  <si>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</si>
  <si>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</si>
  <si>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</si>
  <si>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</si>
  <si>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</si>
  <si>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</si>
  <si>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</si>
  <si>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</si>
  <si>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</si>
  <si>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</si>
  <si>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</si>
  <si>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</si>
  <si>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</si>
  <si>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</si>
  <si>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</si>
  <si>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</si>
  <si>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</si>
  <si>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</si>
  <si>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</si>
  <si>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</si>
  <si>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</si>
  <si>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</si>
  <si>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</si>
  <si>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</si>
  <si>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</si>
  <si>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</si>
  <si>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</si>
  <si>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</si>
  <si>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</si>
  <si>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</si>
  <si>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</si>
  <si>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</si>
  <si>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</si>
  <si>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</si>
  <si>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</si>
  <si>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</si>
  <si>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</si>
  <si>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</si>
  <si>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</si>
  <si>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</si>
  <si>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</si>
  <si>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</si>
  <si>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</si>
  <si>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</si>
  <si>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</si>
  <si>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</si>
  <si>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</si>
  <si>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</si>
  <si>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</si>
  <si>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</si>
  <si>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</si>
  <si>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</si>
  <si>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</si>
  <si>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</si>
  <si>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</si>
  <si>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</si>
  <si>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</si>
  <si>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</si>
  <si>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</si>
  <si>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</si>
  <si>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</si>
  <si>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</si>
  <si>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</si>
  <si>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</si>
  <si>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</si>
  <si>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</si>
  <si>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</si>
  <si>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</si>
  <si>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</si>
  <si>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</si>
  <si>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</si>
  <si>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</si>
  <si>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</si>
  <si>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</si>
  <si>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</si>
  <si>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</si>
  <si>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</si>
  <si>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</si>
  <si>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</si>
  <si>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</si>
  <si>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</si>
  <si>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</si>
  <si>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</si>
  <si>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</si>
  <si>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</si>
  <si>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</si>
  <si>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</si>
  <si>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</si>
  <si>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</si>
  <si>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</si>
  <si>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</si>
  <si>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</si>
  <si>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</si>
  <si>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</si>
  <si>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</si>
  <si>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</si>
  <si>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</si>
  <si>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</si>
  <si>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</si>
  <si>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</si>
  <si>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</si>
  <si>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</si>
  <si>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</si>
  <si>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</si>
  <si>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</si>
  <si>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</si>
  <si>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</si>
  <si>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</si>
  <si>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</si>
  <si>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</si>
  <si>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</si>
  <si>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</si>
  <si>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</si>
  <si>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</si>
  <si>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</si>
  <si>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</si>
  <si>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</si>
  <si>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</si>
  <si>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</si>
  <si>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</si>
  <si>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</si>
  <si>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</si>
  <si>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</si>
  <si>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</si>
  <si>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</si>
  <si>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</si>
  <si>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</si>
  <si>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</si>
  <si>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</si>
  <si>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</si>
  <si>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</si>
  <si>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</si>
  <si>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</si>
  <si>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</si>
  <si>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</si>
  <si>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Unit costs (US$) by delivery modality and target population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</si>
  <si>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</si>
  <si>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</si>
  <si>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</si>
  <si>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</si>
  <si>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</si>
  <si>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</si>
  <si>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</si>
  <si>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</si>
  <si>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</si>
  <si>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</si>
  <si>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</si>
  <si>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Unit cost (US$ per person per year)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</si>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</sst>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/>
    <xf numFmtId="2" fontId="1" fillId="0" borderId="0" xfId="726" applyNumberFormat="1"/>
    <xf numFmtId="0" fontId="1" fillId="0" borderId="0" xfId="726" applyFont="1" applyAlignment="1"/>
    <xf numFmtId="0" fontId="17" fillId="0" borderId="0" xfId="726" applyFont="1"/>
    <xf numFmtId="0" fontId="8" fillId="0" borderId="0" xfId="726" applyFont="1" applyAlignment="1"/>
    <xf numFmtId="0" fontId="8" fillId="0" borderId="0" xfId="726" applyFont="1" applyAlignment="1">
      <alignment wrapText="1"/>
    </xf>
    <xf numFmtId="167" fontId="20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1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9" fillId="3" borderId="1" xfId="725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1" fillId="0" borderId="0" xfId="725" applyFont="1" applyAlignment="1"/>
    <xf numFmtId="0" fontId="2" fillId="0" borderId="0" xfId="725" applyFont="1" applyAlignment="1"/>
    <xf numFmtId="0" fontId="21" fillId="0" borderId="0" xfId="725" applyFont="1" applyAlignment="1">
      <alignment horizontal="right" wrapText="1"/>
    </xf>
    <xf numFmtId="0" fontId="21" fillId="0" borderId="0" xfId="725" applyFont="1" applyFill="1" applyAlignment="1"/>
    <xf numFmtId="1" fontId="21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5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4" fillId="2" borderId="1" xfId="0" applyNumberFormat="1" applyFont="1" applyFill="1" applyBorder="1" applyAlignment="1">
      <alignment horizontal="right"/>
    </xf>
    <xf numFmtId="167" fontId="4" fillId="2" borderId="1" xfId="10" applyNumberFormat="1" applyFont="1" applyFill="1" applyBorder="1" applyAlignment="1">
      <alignment horizontal="right"/>
    </xf>
    <xf numFmtId="167" fontId="0" fillId="0" borderId="0" xfId="10" applyNumberFormat="1" applyFont="1" applyAlignment="1"/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2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7" zoomScaleNormal="100" workbookViewId="0">
      <selection activeCell="C45" sqref="C45"/>
    </sheetView>
  </sheetViews>
  <sheetFormatPr defaultColWidth="14.453125" defaultRowHeight="15.75" customHeight="1" x14ac:dyDescent="0.25"/>
  <cols>
    <col min="1" max="1" width="27.7265625" style="12" customWidth="1"/>
    <col min="2" max="2" width="38.7265625" style="16" customWidth="1"/>
    <col min="3" max="16384" width="14.453125" style="12"/>
  </cols>
  <sheetData>
    <row r="1" spans="1:3" ht="16" customHeight="1" x14ac:dyDescent="0.3">
      <c r="A1" s="1" t="s">
        <v>100</v>
      </c>
      <c r="B1" s="41" t="s">
        <v>164</v>
      </c>
      <c r="C1" s="41" t="s">
        <v>165</v>
      </c>
    </row>
    <row r="2" spans="1:3" ht="16" customHeight="1" x14ac:dyDescent="0.3">
      <c r="A2" s="12" t="s">
        <v>191</v>
      </c>
      <c r="B2" s="41"/>
      <c r="C2" s="41"/>
    </row>
    <row r="3" spans="1:3" ht="16" customHeight="1" x14ac:dyDescent="0.3">
      <c r="A3" s="1"/>
      <c r="B3" s="7" t="s">
        <v>193</v>
      </c>
      <c r="C3" s="67">
        <v>2017</v>
      </c>
    </row>
    <row r="4" spans="1:3" ht="16" customHeight="1" x14ac:dyDescent="0.3">
      <c r="A4" s="1"/>
      <c r="B4" s="9" t="s">
        <v>192</v>
      </c>
      <c r="C4" s="68">
        <v>2030</v>
      </c>
    </row>
    <row r="5" spans="1:3" ht="16" customHeight="1" x14ac:dyDescent="0.3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210</v>
      </c>
      <c r="C7" s="69">
        <v>730414</v>
      </c>
    </row>
    <row r="8" spans="1:3" ht="15" customHeight="1" x14ac:dyDescent="0.25">
      <c r="B8" s="7" t="s">
        <v>106</v>
      </c>
      <c r="C8" s="70">
        <v>0.25800000000000001</v>
      </c>
    </row>
    <row r="9" spans="1:3" ht="15" customHeight="1" x14ac:dyDescent="0.25">
      <c r="B9" s="9" t="s">
        <v>107</v>
      </c>
      <c r="C9" s="71">
        <v>0.99900000000000011</v>
      </c>
    </row>
    <row r="10" spans="1:3" ht="15" customHeight="1" x14ac:dyDescent="0.25">
      <c r="B10" s="9" t="s">
        <v>105</v>
      </c>
      <c r="C10" s="71">
        <v>9.845620155334471E-2</v>
      </c>
    </row>
    <row r="11" spans="1:3" ht="15" customHeight="1" x14ac:dyDescent="0.25">
      <c r="B11" s="7" t="s">
        <v>108</v>
      </c>
      <c r="C11" s="70">
        <v>0.38100000000000001</v>
      </c>
    </row>
    <row r="12" spans="1:3" ht="15" customHeight="1" x14ac:dyDescent="0.25">
      <c r="B12" s="7" t="s">
        <v>109</v>
      </c>
      <c r="C12" s="70">
        <v>0.29799999999999999</v>
      </c>
    </row>
    <row r="13" spans="1:3" ht="15" customHeight="1" x14ac:dyDescent="0.25">
      <c r="B13" s="7" t="s">
        <v>110</v>
      </c>
      <c r="C13" s="70">
        <v>0.71299999999999997</v>
      </c>
    </row>
    <row r="14" spans="1:3" ht="15" customHeight="1" x14ac:dyDescent="0.25">
      <c r="B14" s="12"/>
    </row>
    <row r="15" spans="1:3" ht="15" customHeight="1" x14ac:dyDescent="0.3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71">
        <v>0.1</v>
      </c>
    </row>
    <row r="17" spans="1:3" ht="15" customHeight="1" x14ac:dyDescent="0.25">
      <c r="B17" s="9" t="s">
        <v>95</v>
      </c>
      <c r="C17" s="71">
        <v>5.0000000000000001E-3</v>
      </c>
    </row>
    <row r="18" spans="1:3" ht="15" customHeight="1" x14ac:dyDescent="0.25">
      <c r="B18" s="9" t="s">
        <v>96</v>
      </c>
      <c r="C18" s="71">
        <v>5.0000000000000001E-3</v>
      </c>
    </row>
    <row r="19" spans="1:3" ht="15" customHeight="1" x14ac:dyDescent="0.25">
      <c r="B19" s="9" t="s">
        <v>97</v>
      </c>
      <c r="C19" s="71">
        <v>0.99</v>
      </c>
    </row>
    <row r="20" spans="1:3" ht="15" customHeight="1" x14ac:dyDescent="0.25">
      <c r="B20" s="9" t="s">
        <v>98</v>
      </c>
      <c r="C20" s="72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71">
        <v>0.10980000000000001</v>
      </c>
    </row>
    <row r="24" spans="1:3" ht="15" customHeight="1" x14ac:dyDescent="0.25">
      <c r="B24" s="20" t="s">
        <v>102</v>
      </c>
      <c r="C24" s="71">
        <v>0.4572</v>
      </c>
    </row>
    <row r="25" spans="1:3" ht="15" customHeight="1" x14ac:dyDescent="0.25">
      <c r="B25" s="20" t="s">
        <v>103</v>
      </c>
      <c r="C25" s="71">
        <v>0.30829999999999996</v>
      </c>
    </row>
    <row r="26" spans="1:3" ht="15" customHeight="1" x14ac:dyDescent="0.25">
      <c r="B26" s="20" t="s">
        <v>104</v>
      </c>
      <c r="C26" s="71">
        <v>0.12469999999999999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197</v>
      </c>
      <c r="B28" s="20"/>
      <c r="C28" s="20"/>
    </row>
    <row r="29" spans="1:3" ht="14.25" customHeight="1" x14ac:dyDescent="0.25">
      <c r="B29" s="30" t="s">
        <v>75</v>
      </c>
      <c r="C29" s="73">
        <v>0.218</v>
      </c>
    </row>
    <row r="30" spans="1:3" ht="14.25" customHeight="1" x14ac:dyDescent="0.25">
      <c r="B30" s="30" t="s">
        <v>76</v>
      </c>
      <c r="C30" s="73">
        <v>7.8E-2</v>
      </c>
    </row>
    <row r="31" spans="1:3" ht="14.25" customHeight="1" x14ac:dyDescent="0.25">
      <c r="B31" s="30" t="s">
        <v>77</v>
      </c>
      <c r="C31" s="73">
        <v>0.14899999999999999</v>
      </c>
    </row>
    <row r="32" spans="1:3" ht="14.25" customHeight="1" x14ac:dyDescent="0.25">
      <c r="B32" s="30" t="s">
        <v>78</v>
      </c>
      <c r="C32" s="73">
        <v>0.55500000000000005</v>
      </c>
    </row>
    <row r="33" spans="1:5" ht="13" x14ac:dyDescent="0.25">
      <c r="B33" s="32" t="s">
        <v>129</v>
      </c>
      <c r="C33" s="74">
        <f>SUM(C29:C32)</f>
        <v>1</v>
      </c>
    </row>
    <row r="34" spans="1:5" ht="15" customHeight="1" x14ac:dyDescent="0.25"/>
    <row r="35" spans="1:5" ht="15" customHeight="1" x14ac:dyDescent="0.3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5">
        <v>41.5</v>
      </c>
    </row>
    <row r="38" spans="1:5" ht="15" customHeight="1" x14ac:dyDescent="0.25">
      <c r="B38" s="16" t="s">
        <v>91</v>
      </c>
      <c r="C38" s="75">
        <v>87.6</v>
      </c>
      <c r="D38" s="17"/>
      <c r="E38" s="18"/>
    </row>
    <row r="39" spans="1:5" ht="15" customHeight="1" x14ac:dyDescent="0.25">
      <c r="B39" s="16" t="s">
        <v>90</v>
      </c>
      <c r="C39" s="75">
        <v>121.5</v>
      </c>
      <c r="D39" s="17"/>
      <c r="E39" s="17"/>
    </row>
    <row r="40" spans="1:5" ht="15" customHeight="1" x14ac:dyDescent="0.25">
      <c r="B40" s="16" t="s">
        <v>171</v>
      </c>
      <c r="C40" s="75">
        <v>8.82</v>
      </c>
    </row>
    <row r="41" spans="1:5" ht="15" customHeight="1" x14ac:dyDescent="0.25">
      <c r="B41" s="16" t="s">
        <v>89</v>
      </c>
      <c r="C41" s="71">
        <v>0.13</v>
      </c>
    </row>
    <row r="42" spans="1:5" ht="15" customHeight="1" x14ac:dyDescent="0.25">
      <c r="B42" s="42" t="s">
        <v>93</v>
      </c>
      <c r="C42" s="75">
        <v>34.4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71">
        <v>2.0199999999999999E-2</v>
      </c>
      <c r="D45" s="17"/>
    </row>
    <row r="46" spans="1:5" ht="15.75" customHeight="1" x14ac:dyDescent="0.25">
      <c r="B46" s="16" t="s">
        <v>11</v>
      </c>
      <c r="C46" s="71">
        <v>0.1056</v>
      </c>
      <c r="D46" s="17"/>
    </row>
    <row r="47" spans="1:5" ht="15.75" customHeight="1" x14ac:dyDescent="0.25">
      <c r="B47" s="16" t="s">
        <v>12</v>
      </c>
      <c r="C47" s="71">
        <v>0.25</v>
      </c>
      <c r="D47" s="17"/>
      <c r="E47" s="18"/>
    </row>
    <row r="48" spans="1:5" ht="15" customHeight="1" x14ac:dyDescent="0.25">
      <c r="B48" s="16" t="s">
        <v>26</v>
      </c>
      <c r="C48" s="72">
        <f>1-term_SGA-preterm_AGA-preterm_SGA</f>
        <v>0.62419999999999998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6">
        <v>4.9402544376774973</v>
      </c>
      <c r="D51" s="17"/>
    </row>
    <row r="52" spans="1:4" ht="15" customHeight="1" x14ac:dyDescent="0.25">
      <c r="B52" s="16" t="s">
        <v>125</v>
      </c>
      <c r="C52" s="76">
        <v>4.5560554072399899</v>
      </c>
    </row>
    <row r="53" spans="1:4" ht="15.75" customHeight="1" x14ac:dyDescent="0.25">
      <c r="B53" s="16" t="s">
        <v>126</v>
      </c>
      <c r="C53" s="76">
        <v>4.5560554072399899</v>
      </c>
    </row>
    <row r="54" spans="1:4" ht="15.75" customHeight="1" x14ac:dyDescent="0.25">
      <c r="B54" s="16" t="s">
        <v>127</v>
      </c>
      <c r="C54" s="76">
        <v>3.0473284450700002</v>
      </c>
    </row>
    <row r="55" spans="1:4" ht="15.75" customHeight="1" x14ac:dyDescent="0.25">
      <c r="B55" s="16" t="s">
        <v>128</v>
      </c>
      <c r="C55" s="76">
        <v>3.0473284450700002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70">
        <v>2.1937842778793418E-2</v>
      </c>
    </row>
    <row r="59" spans="1:4" ht="15.75" customHeight="1" x14ac:dyDescent="0.25">
      <c r="B59" s="16" t="s">
        <v>132</v>
      </c>
      <c r="C59" s="70">
        <v>0.44643717778849318</v>
      </c>
    </row>
    <row r="63" spans="1:4" ht="15.75" customHeight="1" x14ac:dyDescent="0.3">
      <c r="A63" s="4"/>
    </row>
  </sheetData>
  <sheetProtection password="CA9F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39"/>
  <sheetViews>
    <sheetView topLeftCell="A10" workbookViewId="0">
      <selection activeCell="B10" sqref="B10"/>
    </sheetView>
  </sheetViews>
  <sheetFormatPr defaultColWidth="14.453125" defaultRowHeight="15.75" customHeight="1" x14ac:dyDescent="0.25"/>
  <cols>
    <col min="1" max="1" width="56" style="52" customWidth="1"/>
    <col min="2" max="2" width="20" style="36" customWidth="1"/>
    <col min="3" max="3" width="20.453125" style="35" customWidth="1"/>
    <col min="4" max="4" width="20.1796875" style="35" customWidth="1"/>
    <col min="5" max="5" width="32.26953125" style="35" bestFit="1" customWidth="1"/>
    <col min="6" max="16384" width="14.453125" style="35"/>
  </cols>
  <sheetData>
    <row r="1" spans="1:5" ht="26" x14ac:dyDescent="0.3">
      <c r="A1" s="54" t="s">
        <v>69</v>
      </c>
      <c r="B1" s="66" t="str">
        <f>"Baseline ("&amp;start_year&amp;") coverage"</f>
        <v>Baseline (2017) coverage</v>
      </c>
      <c r="C1" s="53" t="s">
        <v>201</v>
      </c>
      <c r="D1" s="53" t="s">
        <v>207</v>
      </c>
      <c r="E1" s="53" t="s">
        <v>206</v>
      </c>
    </row>
    <row r="2" spans="1:5" ht="15.75" customHeight="1" x14ac:dyDescent="0.25">
      <c r="A2" s="52" t="s">
        <v>29</v>
      </c>
      <c r="B2" s="85">
        <v>0</v>
      </c>
      <c r="C2" s="85">
        <v>0.95</v>
      </c>
      <c r="D2" s="86">
        <v>34.034762035053411</v>
      </c>
      <c r="E2" s="86" t="s">
        <v>202</v>
      </c>
    </row>
    <row r="3" spans="1:5" ht="15.75" customHeight="1" x14ac:dyDescent="0.25">
      <c r="A3" s="52" t="s">
        <v>86</v>
      </c>
      <c r="B3" s="85">
        <v>0</v>
      </c>
      <c r="C3" s="85">
        <v>0.95</v>
      </c>
      <c r="D3" s="86">
        <v>54.620859337665578</v>
      </c>
      <c r="E3" s="86" t="s">
        <v>202</v>
      </c>
    </row>
    <row r="4" spans="1:5" ht="15.75" customHeight="1" x14ac:dyDescent="0.25">
      <c r="A4" s="52" t="s">
        <v>61</v>
      </c>
      <c r="B4" s="85">
        <v>0</v>
      </c>
      <c r="C4" s="85">
        <v>0.95</v>
      </c>
      <c r="D4" s="86">
        <v>38.221317431768732</v>
      </c>
      <c r="E4" s="86" t="s">
        <v>202</v>
      </c>
    </row>
    <row r="5" spans="1:5" ht="15.75" customHeight="1" x14ac:dyDescent="0.25">
      <c r="A5" s="52" t="s">
        <v>149</v>
      </c>
      <c r="B5" s="85">
        <v>0</v>
      </c>
      <c r="C5" s="85">
        <v>0.95</v>
      </c>
      <c r="D5" s="86">
        <v>0.11672463375086481</v>
      </c>
      <c r="E5" s="86" t="s">
        <v>202</v>
      </c>
    </row>
    <row r="6" spans="1:5" ht="15.75" customHeight="1" x14ac:dyDescent="0.25">
      <c r="A6" s="52" t="s">
        <v>198</v>
      </c>
      <c r="B6" s="85">
        <v>0</v>
      </c>
      <c r="C6" s="85">
        <v>0.95</v>
      </c>
      <c r="D6" s="86">
        <v>1</v>
      </c>
      <c r="E6" s="86" t="s">
        <v>202</v>
      </c>
    </row>
    <row r="7" spans="1:5" ht="15.75" customHeight="1" x14ac:dyDescent="0.25">
      <c r="A7" s="52" t="s">
        <v>63</v>
      </c>
      <c r="B7" s="85">
        <v>0.5</v>
      </c>
      <c r="C7" s="85">
        <v>0.95</v>
      </c>
      <c r="D7" s="86">
        <v>0.3715978850511571</v>
      </c>
      <c r="E7" s="86" t="s">
        <v>202</v>
      </c>
    </row>
    <row r="8" spans="1:5" ht="15.75" customHeight="1" x14ac:dyDescent="0.25">
      <c r="A8" s="52" t="s">
        <v>64</v>
      </c>
      <c r="B8" s="85">
        <v>0.5</v>
      </c>
      <c r="C8" s="85">
        <v>0.95</v>
      </c>
      <c r="D8" s="86">
        <v>0.3715978850511571</v>
      </c>
      <c r="E8" s="86" t="s">
        <v>202</v>
      </c>
    </row>
    <row r="9" spans="1:5" ht="15.75" customHeight="1" x14ac:dyDescent="0.25">
      <c r="A9" s="52" t="s">
        <v>62</v>
      </c>
      <c r="B9" s="85">
        <v>0.5</v>
      </c>
      <c r="C9" s="85">
        <v>0.95</v>
      </c>
      <c r="D9" s="86">
        <v>0.3715978850511571</v>
      </c>
      <c r="E9" s="86" t="s">
        <v>202</v>
      </c>
    </row>
    <row r="10" spans="1:5" ht="15.75" customHeight="1" x14ac:dyDescent="0.25">
      <c r="A10" s="63" t="s">
        <v>188</v>
      </c>
      <c r="B10" s="85">
        <v>0</v>
      </c>
      <c r="C10" s="85">
        <v>0.95</v>
      </c>
      <c r="D10" s="86">
        <v>1.2867839411126629</v>
      </c>
      <c r="E10" s="86" t="s">
        <v>202</v>
      </c>
    </row>
    <row r="11" spans="1:5" ht="15.75" customHeight="1" x14ac:dyDescent="0.25">
      <c r="A11" s="63" t="s">
        <v>208</v>
      </c>
      <c r="B11" s="85">
        <v>0</v>
      </c>
      <c r="C11" s="85">
        <v>0.95</v>
      </c>
      <c r="D11" s="86">
        <v>1.2867839411126629</v>
      </c>
      <c r="E11" s="86" t="s">
        <v>202</v>
      </c>
    </row>
    <row r="12" spans="1:5" ht="15.75" customHeight="1" x14ac:dyDescent="0.25">
      <c r="A12" s="63" t="s">
        <v>189</v>
      </c>
      <c r="B12" s="85">
        <v>0</v>
      </c>
      <c r="C12" s="85">
        <v>0.95</v>
      </c>
      <c r="D12" s="86">
        <v>1.2867839411126629</v>
      </c>
      <c r="E12" s="86" t="s">
        <v>202</v>
      </c>
    </row>
    <row r="13" spans="1:5" ht="15.75" customHeight="1" x14ac:dyDescent="0.25">
      <c r="A13" s="63" t="s">
        <v>190</v>
      </c>
      <c r="B13" s="85">
        <v>0</v>
      </c>
      <c r="C13" s="85">
        <v>0.95</v>
      </c>
      <c r="D13" s="86">
        <v>1.2867839411126629</v>
      </c>
      <c r="E13" s="86" t="s">
        <v>202</v>
      </c>
    </row>
    <row r="14" spans="1:5" ht="15.75" customHeight="1" x14ac:dyDescent="0.25">
      <c r="A14" s="11" t="s">
        <v>187</v>
      </c>
      <c r="B14" s="85">
        <v>0</v>
      </c>
      <c r="C14" s="85">
        <v>0.95</v>
      </c>
      <c r="D14" s="86">
        <v>17.304608565159906</v>
      </c>
      <c r="E14" s="86" t="s">
        <v>202</v>
      </c>
    </row>
    <row r="15" spans="1:5" ht="15.75" customHeight="1" x14ac:dyDescent="0.25">
      <c r="A15" s="11" t="s">
        <v>209</v>
      </c>
      <c r="B15" s="85">
        <v>0</v>
      </c>
      <c r="C15" s="85">
        <v>0.95</v>
      </c>
      <c r="D15" s="86">
        <v>17.304608565159906</v>
      </c>
      <c r="E15" s="86" t="s">
        <v>202</v>
      </c>
    </row>
    <row r="16" spans="1:5" ht="15.75" customHeight="1" x14ac:dyDescent="0.25">
      <c r="A16" s="52" t="s">
        <v>57</v>
      </c>
      <c r="B16" s="85">
        <v>0.26400000000000001</v>
      </c>
      <c r="C16" s="85">
        <v>0.95</v>
      </c>
      <c r="D16" s="86">
        <v>0.23067217612567081</v>
      </c>
      <c r="E16" s="86" t="s">
        <v>202</v>
      </c>
    </row>
    <row r="17" spans="1:5" ht="15.75" customHeight="1" x14ac:dyDescent="0.25">
      <c r="A17" s="52" t="s">
        <v>47</v>
      </c>
      <c r="B17" s="85">
        <v>0.86</v>
      </c>
      <c r="C17" s="85">
        <v>0.95</v>
      </c>
      <c r="D17" s="86">
        <v>0.13690448396621577</v>
      </c>
      <c r="E17" s="86" t="s">
        <v>202</v>
      </c>
    </row>
    <row r="18" spans="1:5" ht="16" customHeight="1" x14ac:dyDescent="0.25">
      <c r="A18" s="52" t="s">
        <v>173</v>
      </c>
      <c r="B18" s="85">
        <v>0.33899999999999997</v>
      </c>
      <c r="C18" s="85">
        <v>0.95</v>
      </c>
      <c r="D18" s="87">
        <v>0.99436129525469097</v>
      </c>
      <c r="E18" s="86" t="s">
        <v>202</v>
      </c>
    </row>
    <row r="19" spans="1:5" ht="15.75" customHeight="1" x14ac:dyDescent="0.25">
      <c r="A19" s="52" t="s">
        <v>199</v>
      </c>
      <c r="B19" s="85">
        <v>0</v>
      </c>
      <c r="C19" s="85">
        <v>0.95</v>
      </c>
      <c r="D19" s="87">
        <v>0.99436129525469097</v>
      </c>
      <c r="E19" s="86" t="s">
        <v>202</v>
      </c>
    </row>
    <row r="20" spans="1:5" ht="15.75" customHeight="1" x14ac:dyDescent="0.25">
      <c r="A20" s="52" t="s">
        <v>200</v>
      </c>
      <c r="B20" s="85">
        <v>0</v>
      </c>
      <c r="C20" s="85">
        <v>0.95</v>
      </c>
      <c r="D20" s="87">
        <v>0.99436129525469097</v>
      </c>
      <c r="E20" s="86" t="s">
        <v>202</v>
      </c>
    </row>
    <row r="21" spans="1:5" ht="15.75" customHeight="1" x14ac:dyDescent="0.25">
      <c r="A21" s="52" t="s">
        <v>196</v>
      </c>
      <c r="B21" s="85">
        <v>0</v>
      </c>
      <c r="C21" s="85">
        <v>0.95</v>
      </c>
      <c r="D21" s="86">
        <v>1.0662052122900678</v>
      </c>
      <c r="E21" s="86" t="s">
        <v>202</v>
      </c>
    </row>
    <row r="22" spans="1:5" ht="15.75" customHeight="1" x14ac:dyDescent="0.25">
      <c r="A22" s="52" t="s">
        <v>136</v>
      </c>
      <c r="B22" s="85">
        <v>0</v>
      </c>
      <c r="C22" s="85">
        <v>0.95</v>
      </c>
      <c r="D22" s="86">
        <v>29.45962320280529</v>
      </c>
      <c r="E22" s="86" t="s">
        <v>202</v>
      </c>
    </row>
    <row r="23" spans="1:5" ht="15.75" customHeight="1" x14ac:dyDescent="0.25">
      <c r="A23" s="52" t="s">
        <v>34</v>
      </c>
      <c r="B23" s="85">
        <v>0.47200000000000003</v>
      </c>
      <c r="C23" s="85">
        <v>0.95</v>
      </c>
      <c r="D23" s="86">
        <v>5.6236363581689774</v>
      </c>
      <c r="E23" s="86" t="s">
        <v>202</v>
      </c>
    </row>
    <row r="24" spans="1:5" ht="15.75" customHeight="1" x14ac:dyDescent="0.25">
      <c r="A24" s="52" t="s">
        <v>88</v>
      </c>
      <c r="B24" s="85">
        <v>0</v>
      </c>
      <c r="C24" s="85">
        <v>0.95</v>
      </c>
      <c r="D24" s="86">
        <v>25.024511947401859</v>
      </c>
      <c r="E24" s="86" t="s">
        <v>202</v>
      </c>
    </row>
    <row r="25" spans="1:5" ht="15.75" customHeight="1" x14ac:dyDescent="0.25">
      <c r="A25" s="52" t="s">
        <v>87</v>
      </c>
      <c r="B25" s="85">
        <v>0.184</v>
      </c>
      <c r="C25" s="85">
        <v>0.95</v>
      </c>
      <c r="D25" s="86">
        <v>25.020920382267462</v>
      </c>
      <c r="E25" s="86" t="s">
        <v>202</v>
      </c>
    </row>
    <row r="26" spans="1:5" ht="15.75" customHeight="1" x14ac:dyDescent="0.25">
      <c r="A26" s="52" t="s">
        <v>137</v>
      </c>
      <c r="B26" s="85">
        <v>0</v>
      </c>
      <c r="C26" s="85">
        <v>0.95</v>
      </c>
      <c r="D26" s="86">
        <v>5.5208962921412725</v>
      </c>
      <c r="E26" s="86" t="s">
        <v>202</v>
      </c>
    </row>
    <row r="27" spans="1:5" ht="15.75" customHeight="1" x14ac:dyDescent="0.25">
      <c r="A27" s="52" t="s">
        <v>59</v>
      </c>
      <c r="B27" s="85">
        <v>0</v>
      </c>
      <c r="C27" s="85">
        <v>0.95</v>
      </c>
      <c r="D27" s="86">
        <v>3.6609077513165755</v>
      </c>
      <c r="E27" s="86" t="s">
        <v>202</v>
      </c>
    </row>
    <row r="28" spans="1:5" ht="15.75" customHeight="1" x14ac:dyDescent="0.25">
      <c r="A28" s="52" t="s">
        <v>84</v>
      </c>
      <c r="B28" s="85">
        <v>0.156</v>
      </c>
      <c r="C28" s="85">
        <v>0.95</v>
      </c>
      <c r="D28" s="86">
        <v>2.4771136136884881</v>
      </c>
      <c r="E28" s="86" t="s">
        <v>202</v>
      </c>
    </row>
    <row r="29" spans="1:5" ht="15.75" customHeight="1" x14ac:dyDescent="0.25">
      <c r="A29" s="52" t="s">
        <v>58</v>
      </c>
      <c r="B29" s="85">
        <v>0.33899999999999997</v>
      </c>
      <c r="C29" s="85">
        <v>0.95</v>
      </c>
      <c r="D29" s="86">
        <v>58.883846304768888</v>
      </c>
      <c r="E29" s="86" t="s">
        <v>202</v>
      </c>
    </row>
    <row r="30" spans="1:5" ht="15.75" customHeight="1" x14ac:dyDescent="0.25">
      <c r="A30" s="52" t="s">
        <v>67</v>
      </c>
      <c r="B30" s="85">
        <v>0.17600000000000002</v>
      </c>
      <c r="C30" s="85">
        <v>0.95</v>
      </c>
      <c r="D30" s="86">
        <v>1.2265220580812335</v>
      </c>
      <c r="E30" s="86" t="s">
        <v>202</v>
      </c>
    </row>
    <row r="31" spans="1:5" ht="15.75" customHeight="1" x14ac:dyDescent="0.25">
      <c r="A31" s="52" t="s">
        <v>28</v>
      </c>
      <c r="B31" s="85">
        <v>0.77099999999999991</v>
      </c>
      <c r="C31" s="85">
        <v>0.95</v>
      </c>
      <c r="D31" s="86">
        <v>0.41624618403907598</v>
      </c>
      <c r="E31" s="86" t="s">
        <v>202</v>
      </c>
    </row>
    <row r="32" spans="1:5" ht="15.75" customHeight="1" x14ac:dyDescent="0.25">
      <c r="A32" s="52" t="s">
        <v>83</v>
      </c>
      <c r="B32" s="85">
        <v>0.154</v>
      </c>
      <c r="C32" s="85">
        <v>0.95</v>
      </c>
      <c r="D32" s="86">
        <v>1</v>
      </c>
      <c r="E32" s="86" t="s">
        <v>202</v>
      </c>
    </row>
    <row r="33" spans="1:6" ht="15.75" customHeight="1" x14ac:dyDescent="0.25">
      <c r="A33" s="52" t="s">
        <v>82</v>
      </c>
      <c r="B33" s="85">
        <v>0.502</v>
      </c>
      <c r="C33" s="85">
        <v>0.95</v>
      </c>
      <c r="D33" s="86">
        <v>2.8</v>
      </c>
      <c r="E33" s="86" t="s">
        <v>202</v>
      </c>
    </row>
    <row r="34" spans="1:6" ht="15.75" customHeight="1" x14ac:dyDescent="0.25">
      <c r="A34" s="52" t="s">
        <v>81</v>
      </c>
      <c r="B34" s="85">
        <v>0.218</v>
      </c>
      <c r="C34" s="85">
        <v>0.95</v>
      </c>
      <c r="D34" s="86">
        <v>50.26</v>
      </c>
      <c r="E34" s="86" t="s">
        <v>202</v>
      </c>
    </row>
    <row r="35" spans="1:6" ht="15.75" customHeight="1" x14ac:dyDescent="0.25">
      <c r="A35" s="52" t="s">
        <v>79</v>
      </c>
      <c r="B35" s="85">
        <v>0.68500000000000005</v>
      </c>
      <c r="C35" s="85">
        <v>0.95</v>
      </c>
      <c r="D35" s="86">
        <v>36.1</v>
      </c>
      <c r="E35" s="86" t="s">
        <v>202</v>
      </c>
    </row>
    <row r="36" spans="1:6" s="36" customFormat="1" ht="15.75" customHeight="1" x14ac:dyDescent="0.25">
      <c r="A36" s="52" t="s">
        <v>80</v>
      </c>
      <c r="B36" s="85">
        <v>1.6E-2</v>
      </c>
      <c r="C36" s="85">
        <v>0.95</v>
      </c>
      <c r="D36" s="86">
        <v>231.85</v>
      </c>
      <c r="E36" s="86" t="s">
        <v>202</v>
      </c>
      <c r="F36" s="35"/>
    </row>
    <row r="37" spans="1:6" ht="15.75" customHeight="1" x14ac:dyDescent="0.25">
      <c r="A37" s="52" t="s">
        <v>85</v>
      </c>
      <c r="B37" s="85">
        <v>5.0000000000000001E-3</v>
      </c>
      <c r="C37" s="85">
        <v>0.95</v>
      </c>
      <c r="D37" s="86">
        <v>7.7139026016212213</v>
      </c>
      <c r="E37" s="86" t="s">
        <v>202</v>
      </c>
    </row>
    <row r="38" spans="1:6" ht="15.75" customHeight="1" x14ac:dyDescent="0.25">
      <c r="A38" s="52" t="s">
        <v>60</v>
      </c>
      <c r="B38" s="85">
        <v>0</v>
      </c>
      <c r="C38" s="85">
        <v>0.95</v>
      </c>
      <c r="D38" s="86">
        <v>0.44565149367941703</v>
      </c>
      <c r="E38" s="86" t="s">
        <v>202</v>
      </c>
    </row>
    <row r="39" spans="1:6" ht="15.75" customHeight="1" x14ac:dyDescent="0.25">
      <c r="F39" s="36"/>
    </row>
  </sheetData>
  <sheetProtection algorithmName="SHA-512" hashValue="zGqGWUHks9r73YYvhtsA/6n2sxkq6NyOLMnszdwkuYHRGc3RAKyH9yLxkOwoypM6IGMaCGHxxq0vP7rXnZY93w==" saltValue="sA5n05NYbI4nfIN6wumz0A==" spinCount="100000" sheet="1" scenarios="1" selectLockedCells="1"/>
  <sortState xmlns:xlrd2="http://schemas.microsoft.com/office/spreadsheetml/2017/richdata2" ref="A2:D38">
    <sortCondition ref="A2:A38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E2:E38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E9"/>
  <sheetViews>
    <sheetView workbookViewId="0">
      <selection activeCell="D2" sqref="D2"/>
    </sheetView>
  </sheetViews>
  <sheetFormatPr defaultColWidth="10.81640625" defaultRowHeight="15.5" x14ac:dyDescent="0.35"/>
  <cols>
    <col min="1" max="1" width="18.7265625" style="55" customWidth="1"/>
    <col min="2" max="16384" width="10.81640625" style="55"/>
  </cols>
  <sheetData>
    <row r="1" spans="1:5" ht="52.5" x14ac:dyDescent="0.35">
      <c r="A1" s="60" t="s">
        <v>195</v>
      </c>
      <c r="B1" s="59" t="s">
        <v>177</v>
      </c>
      <c r="C1" s="59" t="s">
        <v>176</v>
      </c>
      <c r="D1" s="59" t="s">
        <v>175</v>
      </c>
      <c r="E1" s="59" t="s">
        <v>174</v>
      </c>
    </row>
    <row r="2" spans="1:5" x14ac:dyDescent="0.35">
      <c r="A2" s="58" t="s">
        <v>164</v>
      </c>
      <c r="B2" s="57" t="s">
        <v>32</v>
      </c>
      <c r="C2" s="86">
        <f>1.5*0.61</f>
        <v>0.91500000000000004</v>
      </c>
      <c r="D2" s="86">
        <v>3.78</v>
      </c>
      <c r="E2" s="86">
        <v>0.05</v>
      </c>
    </row>
    <row r="3" spans="1:5" x14ac:dyDescent="0.35">
      <c r="A3" s="57"/>
      <c r="B3" s="57" t="s">
        <v>1</v>
      </c>
      <c r="C3" s="86">
        <f>1.5*0.61</f>
        <v>0.91500000000000004</v>
      </c>
      <c r="D3" s="86">
        <f>10.49/4</f>
        <v>2.6225000000000001</v>
      </c>
      <c r="E3" s="86">
        <v>0.05</v>
      </c>
    </row>
    <row r="4" spans="1:5" x14ac:dyDescent="0.35">
      <c r="A4" s="57"/>
      <c r="B4" s="57" t="s">
        <v>2</v>
      </c>
      <c r="C4" s="86">
        <f>1.5*0.61</f>
        <v>0.91500000000000004</v>
      </c>
      <c r="D4" s="86">
        <f>10.49/4</f>
        <v>2.6225000000000001</v>
      </c>
      <c r="E4" s="86">
        <v>0.05</v>
      </c>
    </row>
    <row r="5" spans="1:5" x14ac:dyDescent="0.35">
      <c r="A5" s="57"/>
      <c r="B5" s="57" t="s">
        <v>3</v>
      </c>
      <c r="C5" s="86">
        <f>1.5*0.61</f>
        <v>0.91500000000000004</v>
      </c>
      <c r="D5" s="86">
        <f>10.49/4</f>
        <v>2.6225000000000001</v>
      </c>
      <c r="E5" s="86">
        <v>0.05</v>
      </c>
    </row>
    <row r="6" spans="1:5" x14ac:dyDescent="0.35">
      <c r="A6" s="57"/>
      <c r="B6" s="57" t="s">
        <v>4</v>
      </c>
      <c r="C6" s="86">
        <f>1.5*0.61</f>
        <v>0.91500000000000004</v>
      </c>
      <c r="D6" s="86">
        <f>10.49/4</f>
        <v>2.6225000000000001</v>
      </c>
      <c r="E6" s="86">
        <v>0.05</v>
      </c>
    </row>
    <row r="9" spans="1:5" x14ac:dyDescent="0.35">
      <c r="C9" s="56"/>
    </row>
  </sheetData>
  <sheetProtection algorithmName="SHA-512" hashValue="YkAilk8U5+WtZR6nCkfDN8ui35T9ch6F4SSGibHKz/fgd0cR7PN7XzCjrZgYy30yo3z4WSXsLO+I4aha1E8L9A==" saltValue="EovjrZ5MFBvM1LapaFAkZA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7" tint="-0.249977111117893"/>
  </sheetPr>
  <dimension ref="A1:C20"/>
  <sheetViews>
    <sheetView tabSelected="1" workbookViewId="0">
      <selection activeCell="B6" sqref="B6"/>
    </sheetView>
  </sheetViews>
  <sheetFormatPr defaultColWidth="11.453125" defaultRowHeight="12.5" x14ac:dyDescent="0.25"/>
  <cols>
    <col min="1" max="1" width="53" style="52" bestFit="1" customWidth="1"/>
    <col min="2" max="2" width="47.81640625" style="35" customWidth="1"/>
    <col min="3" max="3" width="42.453125" style="35" customWidth="1"/>
    <col min="4" max="16384" width="11.453125" style="35"/>
  </cols>
  <sheetData>
    <row r="1" spans="1:3" ht="13" x14ac:dyDescent="0.3">
      <c r="A1" s="40" t="s">
        <v>69</v>
      </c>
      <c r="B1" s="40" t="s">
        <v>180</v>
      </c>
      <c r="C1" s="40" t="s">
        <v>179</v>
      </c>
    </row>
    <row r="2" spans="1:3" x14ac:dyDescent="0.25">
      <c r="A2" s="88" t="s">
        <v>187</v>
      </c>
      <c r="B2" s="84" t="s">
        <v>59</v>
      </c>
      <c r="C2" s="84"/>
    </row>
    <row r="3" spans="1:3" x14ac:dyDescent="0.25">
      <c r="A3" s="88" t="s">
        <v>209</v>
      </c>
      <c r="B3" s="84" t="s">
        <v>59</v>
      </c>
      <c r="C3" s="84"/>
    </row>
    <row r="4" spans="1:3" x14ac:dyDescent="0.25">
      <c r="A4" s="89" t="s">
        <v>137</v>
      </c>
      <c r="B4" s="84" t="s">
        <v>136</v>
      </c>
      <c r="C4" s="84"/>
    </row>
    <row r="5" spans="1:3" x14ac:dyDescent="0.25">
      <c r="A5" s="89"/>
      <c r="B5" s="90"/>
      <c r="C5" s="90"/>
    </row>
    <row r="6" spans="1:3" x14ac:dyDescent="0.25">
      <c r="A6" s="89"/>
      <c r="B6" s="90"/>
      <c r="C6" s="90"/>
    </row>
    <row r="7" spans="1:3" x14ac:dyDescent="0.25">
      <c r="A7" s="89"/>
      <c r="B7" s="90"/>
      <c r="C7" s="90"/>
    </row>
    <row r="8" spans="1:3" x14ac:dyDescent="0.25">
      <c r="A8" s="89"/>
      <c r="B8" s="90"/>
      <c r="C8" s="90"/>
    </row>
    <row r="9" spans="1:3" x14ac:dyDescent="0.25">
      <c r="A9" s="89"/>
      <c r="B9" s="90"/>
      <c r="C9" s="90"/>
    </row>
    <row r="10" spans="1:3" x14ac:dyDescent="0.25">
      <c r="A10" s="89"/>
      <c r="B10" s="90"/>
      <c r="C10" s="90"/>
    </row>
    <row r="11" spans="1:3" x14ac:dyDescent="0.25">
      <c r="A11" s="91"/>
      <c r="B11" s="90"/>
      <c r="C11" s="90"/>
    </row>
    <row r="12" spans="1:3" x14ac:dyDescent="0.25">
      <c r="A12" s="91"/>
      <c r="B12" s="90"/>
      <c r="C12" s="90"/>
    </row>
    <row r="13" spans="1:3" x14ac:dyDescent="0.25">
      <c r="A13" s="91"/>
      <c r="B13" s="90"/>
      <c r="C13" s="90"/>
    </row>
    <row r="14" spans="1:3" x14ac:dyDescent="0.25">
      <c r="A14" s="91"/>
      <c r="B14" s="90"/>
      <c r="C14" s="90"/>
    </row>
    <row r="15" spans="1:3" x14ac:dyDescent="0.25">
      <c r="A15" s="91"/>
      <c r="B15" s="90"/>
      <c r="C15" s="90"/>
    </row>
    <row r="16" spans="1:3" x14ac:dyDescent="0.25">
      <c r="A16" s="91"/>
      <c r="B16" s="90"/>
      <c r="C16" s="90"/>
    </row>
    <row r="17" spans="1:3" x14ac:dyDescent="0.25">
      <c r="A17" s="91"/>
      <c r="B17" s="90"/>
      <c r="C17" s="90"/>
    </row>
    <row r="18" spans="1:3" x14ac:dyDescent="0.25">
      <c r="A18" s="91"/>
      <c r="B18" s="90"/>
      <c r="C18" s="90"/>
    </row>
    <row r="19" spans="1:3" x14ac:dyDescent="0.25">
      <c r="A19" s="89"/>
      <c r="B19" s="90"/>
      <c r="C19" s="90"/>
    </row>
    <row r="20" spans="1:3" x14ac:dyDescent="0.25">
      <c r="A20" s="89"/>
      <c r="B20" s="90"/>
      <c r="C20" s="90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249977111117893"/>
  </sheetPr>
  <dimension ref="A1:A19"/>
  <sheetViews>
    <sheetView workbookViewId="0">
      <selection activeCell="G22" sqref="G22"/>
    </sheetView>
  </sheetViews>
  <sheetFormatPr defaultColWidth="11.453125" defaultRowHeight="12.5" x14ac:dyDescent="0.25"/>
  <cols>
    <col min="1" max="1" width="30.1796875" style="35" customWidth="1"/>
    <col min="2" max="16384" width="11.453125" style="35"/>
  </cols>
  <sheetData>
    <row r="1" spans="1:1" ht="13" x14ac:dyDescent="0.3">
      <c r="A1" s="40" t="s">
        <v>69</v>
      </c>
    </row>
    <row r="2" spans="1:1" x14ac:dyDescent="0.25">
      <c r="A2" s="48" t="s">
        <v>198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34998626667073579"/>
  </sheetPr>
  <dimension ref="A1:F4"/>
  <sheetViews>
    <sheetView workbookViewId="0">
      <selection activeCell="C4" sqref="C4:F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4.9402544376774973</v>
      </c>
      <c r="C2" s="26">
        <f>'Baseline year population inputs'!C52</f>
        <v>4.5560554072399899</v>
      </c>
      <c r="D2" s="26">
        <f>'Baseline year population inputs'!C53</f>
        <v>4.5560554072399899</v>
      </c>
      <c r="E2" s="26">
        <f>'Baseline year population inputs'!C54</f>
        <v>3.0473284450700002</v>
      </c>
      <c r="F2" s="26">
        <f>'Baseline year population inputs'!C55</f>
        <v>3.0473284450700002</v>
      </c>
    </row>
    <row r="3" spans="1:6" ht="15.75" customHeight="1" x14ac:dyDescent="0.25">
      <c r="A3" s="3" t="s">
        <v>65</v>
      </c>
      <c r="B3" s="26">
        <f>frac_mam_1month * 2.6</f>
        <v>9.8686205800000024E-2</v>
      </c>
      <c r="C3" s="26">
        <f>frac_mam_1_5months * 2.6</f>
        <v>9.8686205800000024E-2</v>
      </c>
      <c r="D3" s="26">
        <f>frac_mam_6_11months * 2.6</f>
        <v>0.21480308980000001</v>
      </c>
      <c r="E3" s="26">
        <f>frac_mam_12_23months * 2.6</f>
        <v>0.23164177659999996</v>
      </c>
      <c r="F3" s="26">
        <f>frac_mam_24_59months * 2.6</f>
        <v>0.11696922787333336</v>
      </c>
    </row>
    <row r="4" spans="1:6" ht="15.75" customHeight="1" x14ac:dyDescent="0.25">
      <c r="A4" s="3" t="s">
        <v>66</v>
      </c>
      <c r="B4" s="26">
        <f>frac_sam_1month * 2.6</f>
        <v>4.1684897799999995E-2</v>
      </c>
      <c r="C4" s="26">
        <f>frac_sam_1_5months * 2.6</f>
        <v>4.1684897799999995E-2</v>
      </c>
      <c r="D4" s="26">
        <f>frac_sam_6_11months * 2.6</f>
        <v>7.0106366200000006E-2</v>
      </c>
      <c r="E4" s="26">
        <f>frac_sam_12_23months * 2.6</f>
        <v>7.7210325400000002E-2</v>
      </c>
      <c r="F4" s="26">
        <f>frac_sam_24_59months * 2.6</f>
        <v>2.9663959259999997E-2</v>
      </c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A4"/>
  <sheetViews>
    <sheetView workbookViewId="0"/>
  </sheetViews>
  <sheetFormatPr defaultColWidth="11.453125" defaultRowHeight="12.5" x14ac:dyDescent="0.25"/>
  <sheetData>
    <row r="1" spans="1:1" x14ac:dyDescent="0.25">
      <c r="A1" s="12" t="s">
        <v>202</v>
      </c>
    </row>
    <row r="2" spans="1:1" x14ac:dyDescent="0.25">
      <c r="A2" s="12" t="s">
        <v>203</v>
      </c>
    </row>
    <row r="3" spans="1:1" x14ac:dyDescent="0.25">
      <c r="A3" s="12" t="s">
        <v>204</v>
      </c>
    </row>
    <row r="4" spans="1:1" x14ac:dyDescent="0.25">
      <c r="A4" s="12" t="s">
        <v>205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E11"/>
  <sheetViews>
    <sheetView workbookViewId="0">
      <selection activeCell="E3" sqref="E3"/>
    </sheetView>
  </sheetViews>
  <sheetFormatPr defaultColWidth="11.453125" defaultRowHeight="12.5" x14ac:dyDescent="0.25"/>
  <cols>
    <col min="1" max="1" width="33.7265625" style="35" customWidth="1"/>
    <col min="2" max="2" width="12.453125" style="35" customWidth="1"/>
    <col min="3" max="4" width="11.453125" style="35"/>
    <col min="5" max="5" width="17.453125" style="35" customWidth="1"/>
    <col min="6" max="16384" width="11.453125" style="35"/>
  </cols>
  <sheetData>
    <row r="1" spans="1:5" ht="13" x14ac:dyDescent="0.3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4" x14ac:dyDescent="0.3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4" x14ac:dyDescent="0.3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4" x14ac:dyDescent="0.3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4" x14ac:dyDescent="0.3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4" x14ac:dyDescent="0.3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4" x14ac:dyDescent="0.3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4" x14ac:dyDescent="0.3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4" x14ac:dyDescent="0.3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4" x14ac:dyDescent="0.3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P41"/>
  <sheetViews>
    <sheetView zoomScale="50" zoomScaleNormal="50" workbookViewId="0">
      <selection activeCell="J39" sqref="J39"/>
    </sheetView>
  </sheetViews>
  <sheetFormatPr defaultColWidth="16.1796875" defaultRowHeight="15.75" customHeight="1" x14ac:dyDescent="0.35"/>
  <cols>
    <col min="1" max="1" width="22.26953125" style="57" bestFit="1" customWidth="1"/>
    <col min="2" max="2" width="58.81640625" style="57" bestFit="1" customWidth="1"/>
    <col min="3" max="3" width="9.453125" style="57" bestFit="1" customWidth="1"/>
    <col min="4" max="4" width="11.1796875" style="57" bestFit="1" customWidth="1"/>
    <col min="5" max="5" width="12" style="57" bestFit="1" customWidth="1"/>
    <col min="6" max="7" width="13.1796875" style="57" bestFit="1" customWidth="1"/>
    <col min="8" max="11" width="15.26953125" style="57" bestFit="1" customWidth="1"/>
    <col min="12" max="15" width="16.81640625" style="57" bestFit="1" customWidth="1"/>
    <col min="16" max="16384" width="16.1796875" style="57"/>
  </cols>
  <sheetData>
    <row r="1" spans="1:15" ht="15.75" customHeight="1" x14ac:dyDescent="0.35">
      <c r="A1" s="59" t="s">
        <v>33</v>
      </c>
      <c r="B1" s="94" t="s">
        <v>69</v>
      </c>
      <c r="C1" s="59" t="s">
        <v>1</v>
      </c>
      <c r="D1" s="59" t="s">
        <v>2</v>
      </c>
      <c r="E1" s="59" t="s">
        <v>3</v>
      </c>
      <c r="F1" s="59" t="s">
        <v>4</v>
      </c>
      <c r="G1" s="59" t="s">
        <v>5</v>
      </c>
      <c r="H1" s="59" t="s">
        <v>53</v>
      </c>
      <c r="I1" s="59" t="s">
        <v>54</v>
      </c>
      <c r="J1" s="59" t="s">
        <v>55</v>
      </c>
      <c r="K1" s="59" t="s">
        <v>56</v>
      </c>
      <c r="L1" s="59" t="s">
        <v>49</v>
      </c>
      <c r="M1" s="59" t="s">
        <v>50</v>
      </c>
      <c r="N1" s="59" t="s">
        <v>51</v>
      </c>
      <c r="O1" s="59" t="s">
        <v>52</v>
      </c>
    </row>
    <row r="2" spans="1:15" ht="15.75" customHeight="1" x14ac:dyDescent="0.35">
      <c r="A2" s="59" t="s">
        <v>31</v>
      </c>
      <c r="B2" s="52" t="s">
        <v>61</v>
      </c>
      <c r="C2" s="138">
        <v>0</v>
      </c>
      <c r="D2" s="138">
        <v>1</v>
      </c>
      <c r="E2" s="138">
        <v>1</v>
      </c>
      <c r="F2" s="138">
        <v>1</v>
      </c>
      <c r="G2" s="138">
        <v>1</v>
      </c>
      <c r="H2" s="138">
        <v>0</v>
      </c>
      <c r="I2" s="138">
        <v>0</v>
      </c>
      <c r="J2" s="138">
        <v>0</v>
      </c>
      <c r="K2" s="138">
        <v>0</v>
      </c>
      <c r="L2" s="138">
        <v>0</v>
      </c>
      <c r="M2" s="138">
        <v>0</v>
      </c>
      <c r="N2" s="138">
        <v>0</v>
      </c>
      <c r="O2" s="138">
        <v>0</v>
      </c>
    </row>
    <row r="3" spans="1:15" ht="15.75" customHeight="1" x14ac:dyDescent="0.35">
      <c r="B3" s="52" t="s">
        <v>149</v>
      </c>
      <c r="C3" s="138">
        <v>1</v>
      </c>
      <c r="D3" s="138">
        <v>1</v>
      </c>
      <c r="E3" s="138">
        <v>0</v>
      </c>
      <c r="F3" s="138">
        <v>0</v>
      </c>
      <c r="G3" s="138">
        <v>0</v>
      </c>
      <c r="H3" s="138">
        <v>0</v>
      </c>
      <c r="I3" s="138">
        <v>0</v>
      </c>
      <c r="J3" s="138">
        <v>0</v>
      </c>
      <c r="K3" s="138">
        <v>0</v>
      </c>
      <c r="L3" s="138">
        <v>0</v>
      </c>
      <c r="M3" s="138">
        <v>0</v>
      </c>
      <c r="N3" s="138">
        <v>0</v>
      </c>
      <c r="O3" s="138">
        <v>0</v>
      </c>
    </row>
    <row r="4" spans="1:15" ht="15.75" customHeight="1" x14ac:dyDescent="0.35">
      <c r="B4" s="52" t="s">
        <v>173</v>
      </c>
      <c r="C4" s="138">
        <v>1</v>
      </c>
      <c r="D4" s="138">
        <v>1</v>
      </c>
      <c r="E4" s="138">
        <v>1</v>
      </c>
      <c r="F4" s="138">
        <v>1</v>
      </c>
      <c r="G4" s="138">
        <v>1</v>
      </c>
      <c r="H4" s="138">
        <v>0</v>
      </c>
      <c r="I4" s="138">
        <v>0</v>
      </c>
      <c r="J4" s="138">
        <v>0</v>
      </c>
      <c r="K4" s="138">
        <v>0</v>
      </c>
      <c r="L4" s="138">
        <v>0</v>
      </c>
      <c r="M4" s="138">
        <v>0</v>
      </c>
      <c r="N4" s="138">
        <v>0</v>
      </c>
      <c r="O4" s="138">
        <v>0</v>
      </c>
    </row>
    <row r="5" spans="1:15" ht="15.75" customHeight="1" x14ac:dyDescent="0.35">
      <c r="B5" s="52" t="s">
        <v>199</v>
      </c>
      <c r="C5" s="138">
        <v>1</v>
      </c>
      <c r="D5" s="138">
        <v>1</v>
      </c>
      <c r="E5" s="138">
        <v>1</v>
      </c>
      <c r="F5" s="138">
        <v>1</v>
      </c>
      <c r="G5" s="138">
        <v>1</v>
      </c>
      <c r="H5" s="138">
        <v>0</v>
      </c>
      <c r="I5" s="138">
        <v>0</v>
      </c>
      <c r="J5" s="138">
        <v>0</v>
      </c>
      <c r="K5" s="138">
        <v>0</v>
      </c>
      <c r="L5" s="138">
        <v>0</v>
      </c>
      <c r="M5" s="138">
        <v>0</v>
      </c>
      <c r="N5" s="138">
        <v>0</v>
      </c>
      <c r="O5" s="138">
        <v>0</v>
      </c>
    </row>
    <row r="6" spans="1:15" ht="15.75" customHeight="1" x14ac:dyDescent="0.35">
      <c r="B6" s="52" t="s">
        <v>200</v>
      </c>
      <c r="C6" s="138">
        <v>1</v>
      </c>
      <c r="D6" s="138">
        <v>1</v>
      </c>
      <c r="E6" s="138">
        <v>1</v>
      </c>
      <c r="F6" s="138">
        <v>1</v>
      </c>
      <c r="G6" s="138">
        <v>1</v>
      </c>
      <c r="H6" s="138">
        <v>0</v>
      </c>
      <c r="I6" s="138">
        <v>0</v>
      </c>
      <c r="J6" s="138">
        <v>0</v>
      </c>
      <c r="K6" s="138">
        <v>0</v>
      </c>
      <c r="L6" s="138">
        <v>0</v>
      </c>
      <c r="M6" s="138">
        <v>0</v>
      </c>
      <c r="N6" s="138">
        <v>0</v>
      </c>
      <c r="O6" s="138">
        <v>0</v>
      </c>
    </row>
    <row r="7" spans="1:15" ht="15.75" customHeight="1" x14ac:dyDescent="0.35">
      <c r="B7" s="52" t="s">
        <v>196</v>
      </c>
      <c r="C7" s="138">
        <v>1</v>
      </c>
      <c r="D7" s="138">
        <v>1</v>
      </c>
      <c r="E7" s="138">
        <v>0</v>
      </c>
      <c r="F7" s="138">
        <v>0</v>
      </c>
      <c r="G7" s="138">
        <v>0</v>
      </c>
      <c r="H7" s="138">
        <v>0</v>
      </c>
      <c r="I7" s="138">
        <v>0</v>
      </c>
      <c r="J7" s="138">
        <v>0</v>
      </c>
      <c r="K7" s="138">
        <v>0</v>
      </c>
      <c r="L7" s="138">
        <v>0</v>
      </c>
      <c r="M7" s="138">
        <v>0</v>
      </c>
      <c r="N7" s="138">
        <v>0</v>
      </c>
      <c r="O7" s="138">
        <v>0</v>
      </c>
    </row>
    <row r="8" spans="1:15" ht="15.75" customHeight="1" x14ac:dyDescent="0.35">
      <c r="B8" s="52" t="s">
        <v>136</v>
      </c>
      <c r="C8" s="138">
        <v>0</v>
      </c>
      <c r="D8" s="138">
        <v>0</v>
      </c>
      <c r="E8" s="138">
        <v>1</v>
      </c>
      <c r="F8" s="138">
        <v>1</v>
      </c>
      <c r="G8" s="138">
        <v>0</v>
      </c>
      <c r="H8" s="138">
        <v>0</v>
      </c>
      <c r="I8" s="138">
        <v>0</v>
      </c>
      <c r="J8" s="138">
        <v>0</v>
      </c>
      <c r="K8" s="138">
        <v>0</v>
      </c>
      <c r="L8" s="138">
        <v>0</v>
      </c>
      <c r="M8" s="138">
        <v>0</v>
      </c>
      <c r="N8" s="138">
        <v>0</v>
      </c>
      <c r="O8" s="138">
        <v>0</v>
      </c>
    </row>
    <row r="9" spans="1:15" ht="15.75" customHeight="1" x14ac:dyDescent="0.35">
      <c r="B9" s="52" t="s">
        <v>137</v>
      </c>
      <c r="C9" s="138">
        <v>0</v>
      </c>
      <c r="D9" s="138">
        <v>0</v>
      </c>
      <c r="E9" s="138">
        <v>1</v>
      </c>
      <c r="F9" s="138">
        <v>1</v>
      </c>
      <c r="G9" s="138">
        <v>1</v>
      </c>
      <c r="H9" s="138">
        <v>0</v>
      </c>
      <c r="I9" s="138">
        <v>0</v>
      </c>
      <c r="J9" s="138">
        <v>0</v>
      </c>
      <c r="K9" s="138">
        <v>0</v>
      </c>
      <c r="L9" s="138">
        <v>0</v>
      </c>
      <c r="M9" s="138">
        <v>0</v>
      </c>
      <c r="N9" s="138">
        <v>0</v>
      </c>
      <c r="O9" s="138">
        <v>0</v>
      </c>
    </row>
    <row r="10" spans="1:15" ht="15.75" customHeight="1" x14ac:dyDescent="0.35">
      <c r="B10" s="52" t="s">
        <v>84</v>
      </c>
      <c r="C10" s="138">
        <v>1</v>
      </c>
      <c r="D10" s="138">
        <v>1</v>
      </c>
      <c r="E10" s="138">
        <v>1</v>
      </c>
      <c r="F10" s="138">
        <v>1</v>
      </c>
      <c r="G10" s="138">
        <v>1</v>
      </c>
      <c r="H10" s="138">
        <v>0</v>
      </c>
      <c r="I10" s="138">
        <v>0</v>
      </c>
      <c r="J10" s="138">
        <v>0</v>
      </c>
      <c r="K10" s="138">
        <v>0</v>
      </c>
      <c r="L10" s="138">
        <v>0</v>
      </c>
      <c r="M10" s="138">
        <v>0</v>
      </c>
      <c r="N10" s="138">
        <v>0</v>
      </c>
      <c r="O10" s="138">
        <v>0</v>
      </c>
    </row>
    <row r="11" spans="1:15" ht="15.75" customHeight="1" x14ac:dyDescent="0.35">
      <c r="B11" s="52" t="s">
        <v>58</v>
      </c>
      <c r="C11" s="138">
        <v>0</v>
      </c>
      <c r="D11" s="138">
        <v>0</v>
      </c>
      <c r="E11" s="138">
        <v>1</v>
      </c>
      <c r="F11" s="138">
        <v>1</v>
      </c>
      <c r="G11" s="138">
        <v>0</v>
      </c>
      <c r="H11" s="138">
        <v>0</v>
      </c>
      <c r="I11" s="138">
        <v>0</v>
      </c>
      <c r="J11" s="138">
        <v>0</v>
      </c>
      <c r="K11" s="138">
        <v>0</v>
      </c>
      <c r="L11" s="138">
        <v>0</v>
      </c>
      <c r="M11" s="138">
        <v>0</v>
      </c>
      <c r="N11" s="138">
        <v>0</v>
      </c>
      <c r="O11" s="138">
        <v>0</v>
      </c>
    </row>
    <row r="12" spans="1:15" ht="15.75" customHeight="1" x14ac:dyDescent="0.35">
      <c r="B12" s="52" t="s">
        <v>67</v>
      </c>
      <c r="C12" s="138">
        <v>0</v>
      </c>
      <c r="D12" s="138">
        <v>1</v>
      </c>
      <c r="E12" s="138">
        <v>1</v>
      </c>
      <c r="F12" s="138">
        <v>1</v>
      </c>
      <c r="G12" s="138">
        <v>1</v>
      </c>
      <c r="H12" s="138">
        <v>0</v>
      </c>
      <c r="I12" s="138">
        <v>0</v>
      </c>
      <c r="J12" s="138">
        <v>0</v>
      </c>
      <c r="K12" s="138">
        <v>0</v>
      </c>
      <c r="L12" s="138">
        <v>0</v>
      </c>
      <c r="M12" s="138">
        <v>0</v>
      </c>
      <c r="N12" s="138">
        <v>0</v>
      </c>
      <c r="O12" s="138">
        <v>0</v>
      </c>
    </row>
    <row r="13" spans="1:15" ht="15.75" customHeight="1" x14ac:dyDescent="0.35">
      <c r="B13" s="52" t="s">
        <v>28</v>
      </c>
      <c r="C13" s="138">
        <v>0</v>
      </c>
      <c r="D13" s="138">
        <v>0</v>
      </c>
      <c r="E13" s="138">
        <v>1</v>
      </c>
      <c r="F13" s="138">
        <v>1</v>
      </c>
      <c r="G13" s="138">
        <v>1</v>
      </c>
      <c r="H13" s="138">
        <v>0</v>
      </c>
      <c r="I13" s="138">
        <v>0</v>
      </c>
      <c r="J13" s="138">
        <v>0</v>
      </c>
      <c r="K13" s="138">
        <v>0</v>
      </c>
      <c r="L13" s="138">
        <v>0</v>
      </c>
      <c r="M13" s="138">
        <v>0</v>
      </c>
      <c r="N13" s="138">
        <v>0</v>
      </c>
      <c r="O13" s="138">
        <v>0</v>
      </c>
    </row>
    <row r="14" spans="1:15" ht="15.75" customHeight="1" x14ac:dyDescent="0.35">
      <c r="B14" s="52" t="s">
        <v>85</v>
      </c>
      <c r="C14" s="138">
        <v>1</v>
      </c>
      <c r="D14" s="138">
        <v>1</v>
      </c>
      <c r="E14" s="138">
        <v>1</v>
      </c>
      <c r="F14" s="138">
        <v>1</v>
      </c>
      <c r="G14" s="138">
        <v>1</v>
      </c>
      <c r="H14" s="138">
        <v>0</v>
      </c>
      <c r="I14" s="138">
        <v>0</v>
      </c>
      <c r="J14" s="138">
        <v>0</v>
      </c>
      <c r="K14" s="138">
        <v>0</v>
      </c>
      <c r="L14" s="138">
        <v>0</v>
      </c>
      <c r="M14" s="138">
        <v>0</v>
      </c>
      <c r="N14" s="138">
        <v>0</v>
      </c>
      <c r="O14" s="138">
        <v>0</v>
      </c>
    </row>
    <row r="15" spans="1:15" ht="15.75" customHeight="1" x14ac:dyDescent="0.35">
      <c r="B15" s="52" t="s">
        <v>60</v>
      </c>
      <c r="C15" s="138">
        <v>0</v>
      </c>
      <c r="D15" s="138">
        <v>0</v>
      </c>
      <c r="E15" s="138">
        <v>1</v>
      </c>
      <c r="F15" s="138">
        <v>1</v>
      </c>
      <c r="G15" s="138">
        <v>1</v>
      </c>
      <c r="H15" s="138">
        <v>0</v>
      </c>
      <c r="I15" s="138">
        <v>0</v>
      </c>
      <c r="J15" s="138">
        <v>0</v>
      </c>
      <c r="K15" s="138">
        <v>0</v>
      </c>
      <c r="L15" s="138">
        <v>0</v>
      </c>
      <c r="M15" s="138">
        <v>0</v>
      </c>
      <c r="N15" s="138">
        <v>0</v>
      </c>
      <c r="O15" s="138">
        <v>0</v>
      </c>
    </row>
    <row r="16" spans="1:15" ht="15.75" customHeight="1" x14ac:dyDescent="0.35">
      <c r="B16" s="52"/>
      <c r="C16" s="134"/>
      <c r="D16" s="134"/>
      <c r="E16" s="134"/>
      <c r="F16" s="134"/>
      <c r="G16" s="134"/>
      <c r="H16" s="134"/>
      <c r="I16" s="134"/>
      <c r="J16" s="134"/>
      <c r="K16" s="134"/>
      <c r="L16" s="134"/>
      <c r="M16" s="134"/>
      <c r="N16" s="134"/>
      <c r="O16" s="134"/>
    </row>
    <row r="17" spans="1:16" ht="15.75" customHeight="1" x14ac:dyDescent="0.35">
      <c r="A17" s="59" t="s">
        <v>32</v>
      </c>
      <c r="B17" s="52" t="s">
        <v>29</v>
      </c>
      <c r="C17" s="138">
        <v>0</v>
      </c>
      <c r="D17" s="138">
        <v>0</v>
      </c>
      <c r="E17" s="138">
        <v>0</v>
      </c>
      <c r="F17" s="138">
        <v>0</v>
      </c>
      <c r="G17" s="138">
        <v>0</v>
      </c>
      <c r="H17" s="138">
        <v>1</v>
      </c>
      <c r="I17" s="138">
        <v>1</v>
      </c>
      <c r="J17" s="138">
        <v>1</v>
      </c>
      <c r="K17" s="138">
        <v>1</v>
      </c>
      <c r="L17" s="138">
        <v>0</v>
      </c>
      <c r="M17" s="138">
        <v>0</v>
      </c>
      <c r="N17" s="138">
        <v>0</v>
      </c>
      <c r="O17" s="138">
        <v>0</v>
      </c>
    </row>
    <row r="18" spans="1:16" ht="15.75" customHeight="1" x14ac:dyDescent="0.35">
      <c r="A18" s="59"/>
      <c r="B18" s="52" t="s">
        <v>86</v>
      </c>
      <c r="C18" s="138">
        <v>0</v>
      </c>
      <c r="D18" s="138">
        <v>0</v>
      </c>
      <c r="E18" s="138">
        <v>0</v>
      </c>
      <c r="F18" s="138">
        <v>0</v>
      </c>
      <c r="G18" s="138">
        <v>0</v>
      </c>
      <c r="H18" s="138">
        <v>1</v>
      </c>
      <c r="I18" s="138">
        <v>1</v>
      </c>
      <c r="J18" s="138">
        <v>1</v>
      </c>
      <c r="K18" s="138">
        <v>1</v>
      </c>
      <c r="L18" s="138">
        <v>0</v>
      </c>
      <c r="M18" s="138">
        <v>0</v>
      </c>
      <c r="N18" s="138">
        <v>0</v>
      </c>
      <c r="O18" s="138">
        <v>0</v>
      </c>
    </row>
    <row r="19" spans="1:16" ht="15.75" customHeight="1" x14ac:dyDescent="0.35">
      <c r="B19" s="95" t="s">
        <v>187</v>
      </c>
      <c r="C19" s="138">
        <v>0</v>
      </c>
      <c r="D19" s="138">
        <v>0</v>
      </c>
      <c r="E19" s="138">
        <v>0</v>
      </c>
      <c r="F19" s="138">
        <v>0</v>
      </c>
      <c r="G19" s="138">
        <v>0</v>
      </c>
      <c r="H19" s="138">
        <v>1</v>
      </c>
      <c r="I19" s="138">
        <v>1</v>
      </c>
      <c r="J19" s="138">
        <v>1</v>
      </c>
      <c r="K19" s="138">
        <v>1</v>
      </c>
      <c r="L19" s="138">
        <v>0</v>
      </c>
      <c r="M19" s="138">
        <v>0</v>
      </c>
      <c r="N19" s="138">
        <v>0</v>
      </c>
      <c r="O19" s="138">
        <v>0</v>
      </c>
    </row>
    <row r="20" spans="1:16" ht="15.75" customHeight="1" x14ac:dyDescent="0.35">
      <c r="B20" s="95" t="s">
        <v>209</v>
      </c>
      <c r="C20" s="138">
        <v>0</v>
      </c>
      <c r="D20" s="138">
        <v>0</v>
      </c>
      <c r="E20" s="138">
        <v>0</v>
      </c>
      <c r="F20" s="138">
        <v>0</v>
      </c>
      <c r="G20" s="138">
        <v>0</v>
      </c>
      <c r="H20" s="138">
        <v>1</v>
      </c>
      <c r="I20" s="138">
        <v>1</v>
      </c>
      <c r="J20" s="138">
        <v>1</v>
      </c>
      <c r="K20" s="138">
        <v>1</v>
      </c>
      <c r="L20" s="138">
        <v>0</v>
      </c>
      <c r="M20" s="138">
        <v>0</v>
      </c>
      <c r="N20" s="138">
        <v>0</v>
      </c>
      <c r="O20" s="138">
        <v>0</v>
      </c>
    </row>
    <row r="21" spans="1:16" ht="15.75" customHeight="1" x14ac:dyDescent="0.35">
      <c r="B21" s="96" t="s">
        <v>57</v>
      </c>
      <c r="C21" s="138">
        <v>0</v>
      </c>
      <c r="D21" s="138">
        <v>0</v>
      </c>
      <c r="E21" s="138">
        <v>0</v>
      </c>
      <c r="F21" s="138">
        <v>0</v>
      </c>
      <c r="G21" s="138">
        <v>0</v>
      </c>
      <c r="H21" s="138">
        <v>1</v>
      </c>
      <c r="I21" s="138">
        <v>1</v>
      </c>
      <c r="J21" s="138">
        <v>1</v>
      </c>
      <c r="K21" s="138">
        <v>1</v>
      </c>
      <c r="L21" s="138">
        <v>0</v>
      </c>
      <c r="M21" s="138">
        <v>0</v>
      </c>
      <c r="N21" s="138">
        <v>0</v>
      </c>
      <c r="O21" s="138">
        <v>0</v>
      </c>
    </row>
    <row r="22" spans="1:16" ht="15.75" customHeight="1" x14ac:dyDescent="0.35">
      <c r="B22" s="52" t="s">
        <v>88</v>
      </c>
      <c r="C22" s="138">
        <v>0</v>
      </c>
      <c r="D22" s="138">
        <v>0</v>
      </c>
      <c r="E22" s="138">
        <v>0</v>
      </c>
      <c r="F22" s="138">
        <v>0</v>
      </c>
      <c r="G22" s="138">
        <v>0</v>
      </c>
      <c r="H22" s="138">
        <v>1</v>
      </c>
      <c r="I22" s="138">
        <v>1</v>
      </c>
      <c r="J22" s="138">
        <v>1</v>
      </c>
      <c r="K22" s="138">
        <v>1</v>
      </c>
      <c r="L22" s="138">
        <v>0</v>
      </c>
      <c r="M22" s="138">
        <v>0</v>
      </c>
      <c r="N22" s="138">
        <v>0</v>
      </c>
      <c r="O22" s="138">
        <v>0</v>
      </c>
    </row>
    <row r="23" spans="1:16" ht="15.75" customHeight="1" x14ac:dyDescent="0.35">
      <c r="B23" s="52" t="s">
        <v>87</v>
      </c>
      <c r="C23" s="138">
        <v>0</v>
      </c>
      <c r="D23" s="138">
        <v>0</v>
      </c>
      <c r="E23" s="138">
        <v>0</v>
      </c>
      <c r="F23" s="138">
        <v>0</v>
      </c>
      <c r="G23" s="138">
        <v>0</v>
      </c>
      <c r="H23" s="138">
        <v>1</v>
      </c>
      <c r="I23" s="138">
        <v>1</v>
      </c>
      <c r="J23" s="138">
        <v>1</v>
      </c>
      <c r="K23" s="138">
        <v>1</v>
      </c>
      <c r="L23" s="138">
        <v>0</v>
      </c>
      <c r="M23" s="138">
        <v>0</v>
      </c>
      <c r="N23" s="138">
        <v>0</v>
      </c>
      <c r="O23" s="138">
        <v>0</v>
      </c>
    </row>
    <row r="24" spans="1:16" ht="15.75" customHeight="1" x14ac:dyDescent="0.35">
      <c r="B24" s="52" t="s">
        <v>59</v>
      </c>
      <c r="C24" s="138">
        <v>0</v>
      </c>
      <c r="D24" s="138">
        <v>0</v>
      </c>
      <c r="E24" s="138">
        <v>0</v>
      </c>
      <c r="F24" s="138">
        <v>0</v>
      </c>
      <c r="G24" s="138">
        <v>0</v>
      </c>
      <c r="H24" s="138">
        <v>1</v>
      </c>
      <c r="I24" s="138">
        <v>1</v>
      </c>
      <c r="J24" s="138">
        <v>1</v>
      </c>
      <c r="K24" s="138">
        <v>1</v>
      </c>
      <c r="L24" s="138">
        <v>0</v>
      </c>
      <c r="M24" s="138">
        <v>0</v>
      </c>
      <c r="N24" s="138">
        <v>0</v>
      </c>
      <c r="O24" s="138">
        <v>0</v>
      </c>
    </row>
    <row r="25" spans="1:16" ht="15.75" customHeight="1" x14ac:dyDescent="0.35">
      <c r="B25" s="52"/>
      <c r="C25" s="134"/>
      <c r="D25" s="134"/>
      <c r="E25" s="134"/>
      <c r="F25" s="134"/>
      <c r="G25" s="134"/>
      <c r="H25" s="134"/>
      <c r="I25" s="134"/>
      <c r="J25" s="134"/>
      <c r="K25" s="134"/>
      <c r="L25" s="134"/>
      <c r="M25" s="134"/>
      <c r="N25" s="134"/>
      <c r="O25" s="134"/>
    </row>
    <row r="26" spans="1:16" ht="16.149999999999999" customHeight="1" x14ac:dyDescent="0.35">
      <c r="A26" s="59" t="s">
        <v>37</v>
      </c>
      <c r="B26" s="52" t="s">
        <v>198</v>
      </c>
      <c r="C26" s="138">
        <v>0</v>
      </c>
      <c r="D26" s="138">
        <v>0</v>
      </c>
      <c r="E26" s="138">
        <v>0</v>
      </c>
      <c r="F26" s="138">
        <v>0</v>
      </c>
      <c r="G26" s="138">
        <v>0</v>
      </c>
      <c r="H26" s="138">
        <v>0</v>
      </c>
      <c r="I26" s="138">
        <v>0</v>
      </c>
      <c r="J26" s="138">
        <v>0</v>
      </c>
      <c r="K26" s="138">
        <v>0</v>
      </c>
      <c r="L26" s="138">
        <v>1</v>
      </c>
      <c r="M26" s="138">
        <v>0</v>
      </c>
      <c r="N26" s="138">
        <v>0</v>
      </c>
      <c r="O26" s="138">
        <v>0</v>
      </c>
      <c r="P26" s="97"/>
    </row>
    <row r="27" spans="1:16" ht="15.75" customHeight="1" x14ac:dyDescent="0.35">
      <c r="B27" s="63" t="s">
        <v>188</v>
      </c>
      <c r="C27" s="138">
        <v>0</v>
      </c>
      <c r="D27" s="138">
        <v>0</v>
      </c>
      <c r="E27" s="138">
        <v>0</v>
      </c>
      <c r="F27" s="138">
        <v>0</v>
      </c>
      <c r="G27" s="138">
        <v>0</v>
      </c>
      <c r="H27" s="138">
        <v>0</v>
      </c>
      <c r="I27" s="138">
        <v>0</v>
      </c>
      <c r="J27" s="138">
        <v>0</v>
      </c>
      <c r="K27" s="138">
        <v>0</v>
      </c>
      <c r="L27" s="138">
        <v>1</v>
      </c>
      <c r="M27" s="138">
        <v>1</v>
      </c>
      <c r="N27" s="138">
        <v>1</v>
      </c>
      <c r="O27" s="138">
        <v>1</v>
      </c>
    </row>
    <row r="28" spans="1:16" ht="15.75" customHeight="1" x14ac:dyDescent="0.35">
      <c r="A28" s="59"/>
      <c r="B28" s="63" t="s">
        <v>208</v>
      </c>
      <c r="C28" s="138">
        <v>0</v>
      </c>
      <c r="D28" s="138">
        <v>0</v>
      </c>
      <c r="E28" s="138">
        <v>0</v>
      </c>
      <c r="F28" s="138">
        <v>0</v>
      </c>
      <c r="G28" s="138">
        <v>0</v>
      </c>
      <c r="H28" s="138">
        <v>0</v>
      </c>
      <c r="I28" s="138">
        <v>0</v>
      </c>
      <c r="J28" s="138">
        <v>0</v>
      </c>
      <c r="K28" s="138">
        <v>0</v>
      </c>
      <c r="L28" s="138">
        <v>1</v>
      </c>
      <c r="M28" s="138">
        <v>1</v>
      </c>
      <c r="N28" s="138">
        <v>1</v>
      </c>
      <c r="O28" s="138">
        <v>1</v>
      </c>
    </row>
    <row r="29" spans="1:16" ht="15.75" customHeight="1" x14ac:dyDescent="0.35">
      <c r="B29" s="63" t="s">
        <v>189</v>
      </c>
      <c r="C29" s="138">
        <v>0</v>
      </c>
      <c r="D29" s="138">
        <v>0</v>
      </c>
      <c r="E29" s="138">
        <v>0</v>
      </c>
      <c r="F29" s="138">
        <v>0</v>
      </c>
      <c r="G29" s="138">
        <v>0</v>
      </c>
      <c r="H29" s="138">
        <v>0</v>
      </c>
      <c r="I29" s="138">
        <v>0</v>
      </c>
      <c r="J29" s="138">
        <v>0</v>
      </c>
      <c r="K29" s="138">
        <v>0</v>
      </c>
      <c r="L29" s="138">
        <v>1</v>
      </c>
      <c r="M29" s="138">
        <v>1</v>
      </c>
      <c r="N29" s="138">
        <v>1</v>
      </c>
      <c r="O29" s="138">
        <v>1</v>
      </c>
    </row>
    <row r="30" spans="1:16" ht="15.75" customHeight="1" x14ac:dyDescent="0.35">
      <c r="B30" s="63" t="s">
        <v>190</v>
      </c>
      <c r="C30" s="138">
        <v>0</v>
      </c>
      <c r="D30" s="138">
        <v>0</v>
      </c>
      <c r="E30" s="138">
        <v>0</v>
      </c>
      <c r="F30" s="138">
        <v>0</v>
      </c>
      <c r="G30" s="138">
        <v>0</v>
      </c>
      <c r="H30" s="138">
        <v>0</v>
      </c>
      <c r="I30" s="138">
        <v>0</v>
      </c>
      <c r="J30" s="138">
        <v>0</v>
      </c>
      <c r="K30" s="138">
        <v>0</v>
      </c>
      <c r="L30" s="138">
        <v>1</v>
      </c>
      <c r="M30" s="138">
        <v>0</v>
      </c>
      <c r="N30" s="138">
        <v>0</v>
      </c>
      <c r="O30" s="138">
        <v>0</v>
      </c>
    </row>
    <row r="31" spans="1:16" ht="15.75" customHeight="1" x14ac:dyDescent="0.35">
      <c r="B31" s="52"/>
      <c r="C31" s="135"/>
      <c r="D31" s="135"/>
      <c r="E31" s="136"/>
      <c r="F31" s="136"/>
      <c r="G31" s="136"/>
      <c r="H31" s="136"/>
      <c r="I31" s="136"/>
      <c r="J31" s="134"/>
      <c r="K31" s="134"/>
      <c r="L31" s="134"/>
      <c r="M31" s="134"/>
      <c r="N31" s="134"/>
      <c r="O31" s="134"/>
    </row>
    <row r="32" spans="1:16" ht="15.75" customHeight="1" x14ac:dyDescent="0.35">
      <c r="A32" s="59" t="s">
        <v>35</v>
      </c>
      <c r="B32" s="52" t="s">
        <v>63</v>
      </c>
      <c r="C32" s="138">
        <v>1</v>
      </c>
      <c r="D32" s="138">
        <v>0</v>
      </c>
      <c r="E32" s="138">
        <v>1</v>
      </c>
      <c r="F32" s="138">
        <v>1</v>
      </c>
      <c r="G32" s="138">
        <v>1</v>
      </c>
      <c r="H32" s="138">
        <v>1</v>
      </c>
      <c r="I32" s="138">
        <v>1</v>
      </c>
      <c r="J32" s="138">
        <v>1</v>
      </c>
      <c r="K32" s="138">
        <v>1</v>
      </c>
      <c r="L32" s="138">
        <v>1</v>
      </c>
      <c r="M32" s="138">
        <v>1</v>
      </c>
      <c r="N32" s="138">
        <v>1</v>
      </c>
      <c r="O32" s="138">
        <v>1</v>
      </c>
    </row>
    <row r="33" spans="1:15" ht="15.75" customHeight="1" x14ac:dyDescent="0.35">
      <c r="B33" s="52" t="s">
        <v>64</v>
      </c>
      <c r="C33" s="138">
        <v>1</v>
      </c>
      <c r="D33" s="138">
        <v>0</v>
      </c>
      <c r="E33" s="138">
        <v>1</v>
      </c>
      <c r="F33" s="138">
        <v>1</v>
      </c>
      <c r="G33" s="138">
        <v>1</v>
      </c>
      <c r="H33" s="138">
        <v>1</v>
      </c>
      <c r="I33" s="138">
        <v>1</v>
      </c>
      <c r="J33" s="138">
        <v>1</v>
      </c>
      <c r="K33" s="138">
        <v>1</v>
      </c>
      <c r="L33" s="138">
        <v>1</v>
      </c>
      <c r="M33" s="138">
        <v>1</v>
      </c>
      <c r="N33" s="138">
        <v>1</v>
      </c>
      <c r="O33" s="138">
        <v>1</v>
      </c>
    </row>
    <row r="34" spans="1:15" ht="15.75" customHeight="1" x14ac:dyDescent="0.35">
      <c r="B34" s="52" t="s">
        <v>62</v>
      </c>
      <c r="C34" s="138">
        <v>1</v>
      </c>
      <c r="D34" s="138">
        <v>0</v>
      </c>
      <c r="E34" s="138">
        <v>1</v>
      </c>
      <c r="F34" s="138">
        <v>1</v>
      </c>
      <c r="G34" s="138">
        <v>1</v>
      </c>
      <c r="H34" s="138">
        <v>1</v>
      </c>
      <c r="I34" s="138">
        <v>1</v>
      </c>
      <c r="J34" s="138">
        <v>1</v>
      </c>
      <c r="K34" s="138">
        <v>1</v>
      </c>
      <c r="L34" s="138">
        <v>1</v>
      </c>
      <c r="M34" s="138">
        <v>1</v>
      </c>
      <c r="N34" s="138">
        <v>1</v>
      </c>
      <c r="O34" s="138">
        <v>1</v>
      </c>
    </row>
    <row r="35" spans="1:15" ht="15.75" customHeight="1" x14ac:dyDescent="0.35">
      <c r="B35" s="52" t="s">
        <v>47</v>
      </c>
      <c r="C35" s="138">
        <v>1</v>
      </c>
      <c r="D35" s="138">
        <v>0</v>
      </c>
      <c r="E35" s="138">
        <v>1</v>
      </c>
      <c r="F35" s="138">
        <v>1</v>
      </c>
      <c r="G35" s="138">
        <v>1</v>
      </c>
      <c r="H35" s="138">
        <v>1</v>
      </c>
      <c r="I35" s="138">
        <v>1</v>
      </c>
      <c r="J35" s="138">
        <v>1</v>
      </c>
      <c r="K35" s="138">
        <v>1</v>
      </c>
      <c r="L35" s="138">
        <v>1</v>
      </c>
      <c r="M35" s="138">
        <v>1</v>
      </c>
      <c r="N35" s="138">
        <v>1</v>
      </c>
      <c r="O35" s="138">
        <v>1</v>
      </c>
    </row>
    <row r="36" spans="1:15" ht="15.75" customHeight="1" x14ac:dyDescent="0.35">
      <c r="B36" s="52" t="s">
        <v>34</v>
      </c>
      <c r="C36" s="138">
        <v>1</v>
      </c>
      <c r="D36" s="138">
        <v>1</v>
      </c>
      <c r="E36" s="138">
        <v>1</v>
      </c>
      <c r="F36" s="138">
        <v>1</v>
      </c>
      <c r="G36" s="138">
        <v>1</v>
      </c>
      <c r="H36" s="138">
        <v>1</v>
      </c>
      <c r="I36" s="138">
        <v>1</v>
      </c>
      <c r="J36" s="138">
        <v>1</v>
      </c>
      <c r="K36" s="138">
        <v>1</v>
      </c>
      <c r="L36" s="138">
        <v>1</v>
      </c>
      <c r="M36" s="138">
        <v>1</v>
      </c>
      <c r="N36" s="138">
        <v>1</v>
      </c>
      <c r="O36" s="138">
        <v>1</v>
      </c>
    </row>
    <row r="37" spans="1:15" ht="15.75" customHeight="1" x14ac:dyDescent="0.35">
      <c r="A37" s="98"/>
      <c r="B37" s="52" t="s">
        <v>83</v>
      </c>
      <c r="C37" s="138">
        <v>1</v>
      </c>
      <c r="D37" s="138">
        <v>1</v>
      </c>
      <c r="E37" s="138">
        <v>1</v>
      </c>
      <c r="F37" s="138">
        <v>1</v>
      </c>
      <c r="G37" s="138">
        <v>1</v>
      </c>
      <c r="H37" s="138">
        <v>1</v>
      </c>
      <c r="I37" s="138">
        <v>1</v>
      </c>
      <c r="J37" s="138">
        <v>1</v>
      </c>
      <c r="K37" s="138">
        <v>1</v>
      </c>
      <c r="L37" s="138">
        <v>1</v>
      </c>
      <c r="M37" s="138">
        <v>1</v>
      </c>
      <c r="N37" s="138">
        <v>1</v>
      </c>
      <c r="O37" s="138">
        <v>1</v>
      </c>
    </row>
    <row r="38" spans="1:15" s="98" customFormat="1" ht="15.75" customHeight="1" x14ac:dyDescent="0.35">
      <c r="B38" s="52" t="s">
        <v>82</v>
      </c>
      <c r="C38" s="138">
        <v>1</v>
      </c>
      <c r="D38" s="138">
        <v>1</v>
      </c>
      <c r="E38" s="138">
        <v>1</v>
      </c>
      <c r="F38" s="138">
        <v>1</v>
      </c>
      <c r="G38" s="138">
        <v>1</v>
      </c>
      <c r="H38" s="138">
        <v>1</v>
      </c>
      <c r="I38" s="138">
        <v>1</v>
      </c>
      <c r="J38" s="138">
        <v>1</v>
      </c>
      <c r="K38" s="138">
        <v>1</v>
      </c>
      <c r="L38" s="138">
        <v>1</v>
      </c>
      <c r="M38" s="138">
        <v>1</v>
      </c>
      <c r="N38" s="138">
        <v>1</v>
      </c>
      <c r="O38" s="138">
        <v>1</v>
      </c>
    </row>
    <row r="39" spans="1:15" s="98" customFormat="1" ht="15.75" customHeight="1" x14ac:dyDescent="0.35">
      <c r="B39" s="52" t="s">
        <v>81</v>
      </c>
      <c r="C39" s="138">
        <v>1</v>
      </c>
      <c r="D39" s="138">
        <v>1</v>
      </c>
      <c r="E39" s="138">
        <v>1</v>
      </c>
      <c r="F39" s="138">
        <v>1</v>
      </c>
      <c r="G39" s="138">
        <v>1</v>
      </c>
      <c r="H39" s="138">
        <v>1</v>
      </c>
      <c r="I39" s="138">
        <v>1</v>
      </c>
      <c r="J39" s="138">
        <v>1</v>
      </c>
      <c r="K39" s="138">
        <v>1</v>
      </c>
      <c r="L39" s="138">
        <v>1</v>
      </c>
      <c r="M39" s="138">
        <v>1</v>
      </c>
      <c r="N39" s="138">
        <v>1</v>
      </c>
      <c r="O39" s="138">
        <v>1</v>
      </c>
    </row>
    <row r="40" spans="1:15" s="98" customFormat="1" ht="15.75" customHeight="1" x14ac:dyDescent="0.35">
      <c r="B40" s="52" t="s">
        <v>79</v>
      </c>
      <c r="C40" s="138">
        <v>1</v>
      </c>
      <c r="D40" s="138">
        <v>1</v>
      </c>
      <c r="E40" s="138">
        <v>1</v>
      </c>
      <c r="F40" s="138">
        <v>1</v>
      </c>
      <c r="G40" s="138">
        <v>1</v>
      </c>
      <c r="H40" s="138">
        <v>1</v>
      </c>
      <c r="I40" s="138">
        <v>1</v>
      </c>
      <c r="J40" s="138">
        <v>1</v>
      </c>
      <c r="K40" s="138">
        <v>1</v>
      </c>
      <c r="L40" s="138">
        <v>1</v>
      </c>
      <c r="M40" s="138">
        <v>1</v>
      </c>
      <c r="N40" s="138">
        <v>1</v>
      </c>
      <c r="O40" s="138">
        <v>1</v>
      </c>
    </row>
    <row r="41" spans="1:15" ht="15" customHeight="1" x14ac:dyDescent="0.35">
      <c r="B41" s="52" t="s">
        <v>80</v>
      </c>
      <c r="C41" s="138">
        <v>1</v>
      </c>
      <c r="D41" s="138">
        <v>1</v>
      </c>
      <c r="E41" s="138">
        <v>1</v>
      </c>
      <c r="F41" s="138">
        <v>1</v>
      </c>
      <c r="G41" s="138">
        <v>1</v>
      </c>
      <c r="H41" s="138">
        <v>1</v>
      </c>
      <c r="I41" s="138">
        <v>1</v>
      </c>
      <c r="J41" s="138">
        <v>1</v>
      </c>
      <c r="K41" s="138">
        <v>1</v>
      </c>
      <c r="L41" s="138">
        <v>1</v>
      </c>
      <c r="M41" s="138">
        <v>1</v>
      </c>
      <c r="N41" s="138">
        <v>1</v>
      </c>
      <c r="O41" s="138">
        <v>1</v>
      </c>
    </row>
  </sheetData>
  <sheetProtection algorithmName="SHA-512" hashValue="UTAD6hDPFf/Ul0P2TkEmcVLwJIskng6BwO7PQn9KQppd8AxlpMXDzh2uUA/A2vdLAdLHbrkvLJZl/FHFHl0BRA==" saltValue="WyzBb18fC4LyksUq9iofgA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38"/>
  <sheetViews>
    <sheetView workbookViewId="0">
      <selection activeCell="F8" sqref="F8"/>
    </sheetView>
  </sheetViews>
  <sheetFormatPr defaultColWidth="12.7265625" defaultRowHeight="12.5" x14ac:dyDescent="0.25"/>
  <cols>
    <col min="1" max="1" width="58.81640625" style="35" bestFit="1" customWidth="1"/>
    <col min="2" max="2" width="8.7265625" style="35" bestFit="1" customWidth="1"/>
    <col min="3" max="3" width="8.81640625" style="35" bestFit="1" customWidth="1"/>
    <col min="4" max="4" width="18.26953125" style="35" bestFit="1" customWidth="1"/>
    <col min="5" max="5" width="17.453125" style="35" bestFit="1" customWidth="1"/>
    <col min="6" max="6" width="13.54296875" style="35" bestFit="1" customWidth="1"/>
    <col min="7" max="7" width="9.7265625" style="35" bestFit="1" customWidth="1"/>
    <col min="8" max="8" width="8.81640625" style="35" bestFit="1" customWidth="1"/>
    <col min="9" max="9" width="14.7265625" style="35" bestFit="1" customWidth="1"/>
    <col min="10" max="10" width="15.26953125" style="35" bestFit="1" customWidth="1"/>
    <col min="11" max="16384" width="12.7265625" style="35"/>
  </cols>
  <sheetData>
    <row r="1" spans="1:11" ht="13" x14ac:dyDescent="0.3">
      <c r="A1" s="40" t="s">
        <v>69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52" t="s">
        <v>29</v>
      </c>
      <c r="B2" s="138"/>
      <c r="C2" s="138"/>
      <c r="D2" s="138"/>
      <c r="E2" s="138"/>
      <c r="F2" s="138"/>
      <c r="G2" s="138"/>
      <c r="H2" s="138"/>
      <c r="I2" s="138" t="s">
        <v>194</v>
      </c>
      <c r="J2" s="138"/>
      <c r="K2" s="138"/>
    </row>
    <row r="3" spans="1:11" x14ac:dyDescent="0.25">
      <c r="A3" s="52" t="s">
        <v>86</v>
      </c>
      <c r="B3" s="138"/>
      <c r="C3" s="138"/>
      <c r="D3" s="138"/>
      <c r="E3" s="138"/>
      <c r="F3" s="138"/>
      <c r="G3" s="138"/>
      <c r="H3" s="138" t="s">
        <v>194</v>
      </c>
      <c r="I3" s="138"/>
      <c r="J3" s="138"/>
      <c r="K3" s="138"/>
    </row>
    <row r="4" spans="1:11" x14ac:dyDescent="0.25">
      <c r="A4" s="52" t="s">
        <v>61</v>
      </c>
      <c r="B4" s="138"/>
      <c r="C4" s="138"/>
      <c r="D4" s="138" t="s">
        <v>194</v>
      </c>
      <c r="E4" s="138"/>
      <c r="F4" s="138"/>
      <c r="G4" s="138"/>
      <c r="H4" s="138"/>
      <c r="I4" s="138"/>
      <c r="J4" s="138"/>
      <c r="K4" s="138"/>
    </row>
    <row r="5" spans="1:11" x14ac:dyDescent="0.25">
      <c r="A5" s="52" t="s">
        <v>149</v>
      </c>
      <c r="B5" s="138"/>
      <c r="C5" s="138" t="s">
        <v>194</v>
      </c>
      <c r="D5" s="138"/>
      <c r="E5" s="138"/>
      <c r="F5" s="138"/>
      <c r="G5" s="138"/>
      <c r="H5" s="138"/>
      <c r="I5" s="138"/>
      <c r="J5" s="138"/>
      <c r="K5" s="138"/>
    </row>
    <row r="6" spans="1:11" x14ac:dyDescent="0.25">
      <c r="A6" s="52" t="s">
        <v>198</v>
      </c>
      <c r="B6" s="138"/>
      <c r="C6" s="138"/>
      <c r="D6" s="138"/>
      <c r="E6" s="138"/>
      <c r="F6" s="138"/>
      <c r="G6" s="138"/>
      <c r="H6" s="138"/>
      <c r="I6" s="138"/>
      <c r="J6" s="138" t="s">
        <v>194</v>
      </c>
      <c r="K6" s="138" t="s">
        <v>194</v>
      </c>
    </row>
    <row r="7" spans="1:11" x14ac:dyDescent="0.25">
      <c r="A7" s="52" t="s">
        <v>63</v>
      </c>
      <c r="B7" s="138"/>
      <c r="C7" s="138" t="s">
        <v>194</v>
      </c>
      <c r="D7" s="138"/>
      <c r="E7" s="138"/>
      <c r="F7" s="138"/>
      <c r="G7" s="138"/>
      <c r="H7" s="138" t="s">
        <v>194</v>
      </c>
      <c r="I7" s="138"/>
      <c r="J7" s="138"/>
      <c r="K7" s="138"/>
    </row>
    <row r="8" spans="1:11" x14ac:dyDescent="0.25">
      <c r="A8" s="52" t="s">
        <v>64</v>
      </c>
      <c r="B8" s="138"/>
      <c r="C8" s="138" t="s">
        <v>194</v>
      </c>
      <c r="D8" s="138"/>
      <c r="E8" s="138"/>
      <c r="F8" s="138"/>
      <c r="G8" s="138"/>
      <c r="H8" s="138" t="s">
        <v>194</v>
      </c>
      <c r="I8" s="138"/>
      <c r="J8" s="138"/>
      <c r="K8" s="138"/>
    </row>
    <row r="9" spans="1:11" x14ac:dyDescent="0.25">
      <c r="A9" s="52" t="s">
        <v>62</v>
      </c>
      <c r="B9" s="138"/>
      <c r="C9" s="138" t="s">
        <v>194</v>
      </c>
      <c r="D9" s="138"/>
      <c r="E9" s="138"/>
      <c r="F9" s="138"/>
      <c r="G9" s="138"/>
      <c r="H9" s="138" t="s">
        <v>194</v>
      </c>
      <c r="I9" s="138"/>
      <c r="J9" s="138"/>
      <c r="K9" s="138"/>
    </row>
    <row r="10" spans="1:11" x14ac:dyDescent="0.25">
      <c r="A10" s="63" t="s">
        <v>188</v>
      </c>
      <c r="B10" s="138"/>
      <c r="C10" s="138" t="s">
        <v>194</v>
      </c>
      <c r="D10" s="138"/>
      <c r="E10" s="138"/>
      <c r="F10" s="138"/>
      <c r="G10" s="138"/>
      <c r="H10" s="138"/>
      <c r="I10" s="138"/>
      <c r="J10" s="138"/>
      <c r="K10" s="138"/>
    </row>
    <row r="11" spans="1:11" x14ac:dyDescent="0.25">
      <c r="A11" s="63" t="s">
        <v>208</v>
      </c>
      <c r="B11" s="138"/>
      <c r="C11" s="138" t="s">
        <v>194</v>
      </c>
      <c r="D11" s="138"/>
      <c r="E11" s="138"/>
      <c r="F11" s="138"/>
      <c r="G11" s="138"/>
      <c r="H11" s="138"/>
      <c r="I11" s="138"/>
      <c r="J11" s="138"/>
      <c r="K11" s="138"/>
    </row>
    <row r="12" spans="1:11" x14ac:dyDescent="0.25">
      <c r="A12" s="63" t="s">
        <v>189</v>
      </c>
      <c r="B12" s="138"/>
      <c r="C12" s="138" t="s">
        <v>194</v>
      </c>
      <c r="D12" s="138"/>
      <c r="E12" s="138"/>
      <c r="F12" s="138"/>
      <c r="G12" s="138"/>
      <c r="H12" s="138"/>
      <c r="I12" s="138"/>
      <c r="J12" s="138"/>
      <c r="K12" s="138"/>
    </row>
    <row r="13" spans="1:11" x14ac:dyDescent="0.25">
      <c r="A13" s="63" t="s">
        <v>190</v>
      </c>
      <c r="B13" s="138"/>
      <c r="C13" s="138" t="s">
        <v>194</v>
      </c>
      <c r="D13" s="138"/>
      <c r="E13" s="138"/>
      <c r="F13" s="138"/>
      <c r="G13" s="138"/>
      <c r="H13" s="138"/>
      <c r="I13" s="138"/>
      <c r="J13" s="138"/>
      <c r="K13" s="138"/>
    </row>
    <row r="14" spans="1:11" x14ac:dyDescent="0.25">
      <c r="A14" s="95" t="s">
        <v>187</v>
      </c>
      <c r="B14" s="138"/>
      <c r="C14" s="138" t="s">
        <v>194</v>
      </c>
      <c r="D14" s="138"/>
      <c r="E14" s="138"/>
      <c r="F14" s="138"/>
      <c r="G14" s="138"/>
      <c r="H14" s="138"/>
      <c r="I14" s="138" t="s">
        <v>194</v>
      </c>
      <c r="J14" s="138"/>
      <c r="K14" s="138"/>
    </row>
    <row r="15" spans="1:11" x14ac:dyDescent="0.25">
      <c r="A15" s="95" t="s">
        <v>209</v>
      </c>
      <c r="B15" s="138"/>
      <c r="C15" s="138" t="s">
        <v>194</v>
      </c>
      <c r="D15" s="138"/>
      <c r="E15" s="138"/>
      <c r="F15" s="138"/>
      <c r="G15" s="138"/>
      <c r="H15" s="138"/>
      <c r="I15" s="138" t="s">
        <v>194</v>
      </c>
      <c r="J15" s="138"/>
      <c r="K15" s="138"/>
    </row>
    <row r="16" spans="1:11" x14ac:dyDescent="0.25">
      <c r="A16" s="52" t="s">
        <v>57</v>
      </c>
      <c r="B16" s="138"/>
      <c r="C16" s="138" t="s">
        <v>194</v>
      </c>
      <c r="D16" s="138"/>
      <c r="E16" s="138"/>
      <c r="F16" s="138"/>
      <c r="G16" s="138"/>
      <c r="H16" s="138" t="s">
        <v>194</v>
      </c>
      <c r="I16" s="138" t="s">
        <v>194</v>
      </c>
      <c r="J16" s="138"/>
      <c r="K16" s="138"/>
    </row>
    <row r="17" spans="1:11" x14ac:dyDescent="0.25">
      <c r="A17" s="52" t="s">
        <v>47</v>
      </c>
      <c r="B17" s="138"/>
      <c r="C17" s="138" t="s">
        <v>194</v>
      </c>
      <c r="D17" s="138"/>
      <c r="E17" s="138"/>
      <c r="F17" s="138"/>
      <c r="G17" s="138"/>
      <c r="H17" s="138"/>
      <c r="I17" s="138"/>
      <c r="J17" s="138"/>
      <c r="K17" s="138"/>
    </row>
    <row r="18" spans="1:11" x14ac:dyDescent="0.25">
      <c r="A18" s="52" t="s">
        <v>173</v>
      </c>
      <c r="B18" s="138" t="s">
        <v>194</v>
      </c>
      <c r="C18" s="138"/>
      <c r="D18" s="138"/>
      <c r="E18" s="138"/>
      <c r="F18" s="138" t="s">
        <v>194</v>
      </c>
      <c r="G18" s="138"/>
      <c r="H18" s="138"/>
      <c r="I18" s="138"/>
      <c r="J18" s="138"/>
      <c r="K18" s="138"/>
    </row>
    <row r="19" spans="1:11" x14ac:dyDescent="0.25">
      <c r="A19" s="52" t="s">
        <v>199</v>
      </c>
      <c r="B19" s="138" t="s">
        <v>194</v>
      </c>
      <c r="C19" s="138"/>
      <c r="D19" s="138"/>
      <c r="E19" s="138"/>
      <c r="F19" s="138" t="s">
        <v>194</v>
      </c>
      <c r="G19" s="138"/>
      <c r="H19" s="138"/>
      <c r="I19" s="138"/>
      <c r="J19" s="138"/>
      <c r="K19" s="138"/>
    </row>
    <row r="20" spans="1:11" x14ac:dyDescent="0.25">
      <c r="A20" s="52" t="s">
        <v>200</v>
      </c>
      <c r="B20" s="138" t="s">
        <v>194</v>
      </c>
      <c r="C20" s="138"/>
      <c r="D20" s="138"/>
      <c r="E20" s="138"/>
      <c r="F20" s="138" t="s">
        <v>194</v>
      </c>
      <c r="G20" s="138"/>
      <c r="H20" s="138"/>
      <c r="I20" s="138"/>
      <c r="J20" s="138"/>
      <c r="K20" s="138"/>
    </row>
    <row r="21" spans="1:11" x14ac:dyDescent="0.25">
      <c r="A21" s="52" t="s">
        <v>196</v>
      </c>
      <c r="B21" s="138"/>
      <c r="C21" s="138"/>
      <c r="D21" s="138"/>
      <c r="E21" s="138"/>
      <c r="F21" s="138"/>
      <c r="G21" s="138"/>
      <c r="H21" s="138" t="s">
        <v>194</v>
      </c>
      <c r="I21" s="138" t="s">
        <v>194</v>
      </c>
      <c r="J21" s="138"/>
      <c r="K21" s="138"/>
    </row>
    <row r="22" spans="1:11" x14ac:dyDescent="0.25">
      <c r="A22" s="52" t="s">
        <v>136</v>
      </c>
      <c r="B22" s="138" t="s">
        <v>194</v>
      </c>
      <c r="C22" s="138" t="s">
        <v>194</v>
      </c>
      <c r="D22" s="138" t="s">
        <v>194</v>
      </c>
      <c r="E22" s="138"/>
      <c r="F22" s="138"/>
      <c r="G22" s="138"/>
      <c r="H22" s="138"/>
      <c r="I22" s="138"/>
      <c r="J22" s="138"/>
      <c r="K22" s="138"/>
    </row>
    <row r="23" spans="1:11" x14ac:dyDescent="0.25">
      <c r="A23" s="52" t="s">
        <v>34</v>
      </c>
      <c r="B23" s="138"/>
      <c r="C23" s="138" t="s">
        <v>194</v>
      </c>
      <c r="D23" s="138"/>
      <c r="E23" s="138"/>
      <c r="F23" s="138"/>
      <c r="G23" s="138"/>
      <c r="H23" s="138"/>
      <c r="I23" s="138" t="s">
        <v>194</v>
      </c>
      <c r="J23" s="138"/>
      <c r="K23" s="138"/>
    </row>
    <row r="24" spans="1:11" x14ac:dyDescent="0.25">
      <c r="A24" s="52" t="s">
        <v>88</v>
      </c>
      <c r="B24" s="138"/>
      <c r="C24" s="138"/>
      <c r="D24" s="138"/>
      <c r="E24" s="138"/>
      <c r="F24" s="138"/>
      <c r="G24" s="138"/>
      <c r="H24" s="138" t="s">
        <v>194</v>
      </c>
      <c r="I24" s="138"/>
      <c r="J24" s="138"/>
      <c r="K24" s="138"/>
    </row>
    <row r="25" spans="1:11" x14ac:dyDescent="0.25">
      <c r="A25" s="52" t="s">
        <v>87</v>
      </c>
      <c r="B25" s="138"/>
      <c r="C25" s="138"/>
      <c r="D25" s="138"/>
      <c r="E25" s="138"/>
      <c r="F25" s="138"/>
      <c r="G25" s="138"/>
      <c r="H25" s="138" t="s">
        <v>194</v>
      </c>
      <c r="I25" s="138"/>
      <c r="J25" s="138"/>
      <c r="K25" s="138"/>
    </row>
    <row r="26" spans="1:11" x14ac:dyDescent="0.25">
      <c r="A26" s="52" t="s">
        <v>137</v>
      </c>
      <c r="B26" s="138"/>
      <c r="C26" s="138" t="s">
        <v>194</v>
      </c>
      <c r="D26" s="138"/>
      <c r="E26" s="138"/>
      <c r="F26" s="138"/>
      <c r="G26" s="138"/>
      <c r="H26" s="138"/>
      <c r="I26" s="138"/>
      <c r="J26" s="138"/>
      <c r="K26" s="138"/>
    </row>
    <row r="27" spans="1:11" x14ac:dyDescent="0.25">
      <c r="A27" s="52" t="s">
        <v>59</v>
      </c>
      <c r="B27" s="138"/>
      <c r="C27" s="138" t="s">
        <v>194</v>
      </c>
      <c r="D27" s="138"/>
      <c r="E27" s="138"/>
      <c r="F27" s="138"/>
      <c r="G27" s="138"/>
      <c r="H27" s="138"/>
      <c r="I27" s="138" t="s">
        <v>194</v>
      </c>
      <c r="J27" s="138"/>
      <c r="K27" s="138"/>
    </row>
    <row r="28" spans="1:11" x14ac:dyDescent="0.25">
      <c r="A28" s="52" t="s">
        <v>84</v>
      </c>
      <c r="B28" s="138"/>
      <c r="C28" s="138"/>
      <c r="D28" s="138"/>
      <c r="E28" s="138"/>
      <c r="F28" s="138"/>
      <c r="G28" s="138"/>
      <c r="H28" s="138" t="s">
        <v>194</v>
      </c>
      <c r="I28" s="138"/>
      <c r="J28" s="138"/>
      <c r="K28" s="138"/>
    </row>
    <row r="29" spans="1:11" x14ac:dyDescent="0.25">
      <c r="A29" s="52" t="s">
        <v>58</v>
      </c>
      <c r="B29" s="138" t="s">
        <v>194</v>
      </c>
      <c r="C29" s="138"/>
      <c r="D29" s="138" t="s">
        <v>194</v>
      </c>
      <c r="E29" s="138"/>
      <c r="F29" s="138"/>
      <c r="G29" s="138"/>
      <c r="H29" s="138"/>
      <c r="I29" s="138"/>
      <c r="J29" s="138"/>
      <c r="K29" s="138"/>
    </row>
    <row r="30" spans="1:11" x14ac:dyDescent="0.25">
      <c r="A30" s="52" t="s">
        <v>67</v>
      </c>
      <c r="B30" s="138"/>
      <c r="C30" s="138"/>
      <c r="D30" s="138"/>
      <c r="E30" s="138" t="s">
        <v>194</v>
      </c>
      <c r="F30" s="138"/>
      <c r="G30" s="138"/>
      <c r="H30" s="138"/>
      <c r="I30" s="138"/>
      <c r="J30" s="138"/>
      <c r="K30" s="138"/>
    </row>
    <row r="31" spans="1:11" x14ac:dyDescent="0.25">
      <c r="A31" s="52" t="s">
        <v>28</v>
      </c>
      <c r="B31" s="138"/>
      <c r="C31" s="138"/>
      <c r="D31" s="138"/>
      <c r="E31" s="138"/>
      <c r="F31" s="138"/>
      <c r="G31" s="138" t="s">
        <v>194</v>
      </c>
      <c r="H31" s="138" t="s">
        <v>194</v>
      </c>
      <c r="I31" s="138"/>
      <c r="J31" s="138"/>
      <c r="K31" s="138"/>
    </row>
    <row r="32" spans="1:11" x14ac:dyDescent="0.25">
      <c r="A32" s="52" t="s">
        <v>83</v>
      </c>
      <c r="B32" s="138"/>
      <c r="C32" s="138"/>
      <c r="D32" s="138"/>
      <c r="E32" s="138"/>
      <c r="F32" s="138"/>
      <c r="G32" s="138" t="s">
        <v>194</v>
      </c>
      <c r="H32" s="138" t="s">
        <v>194</v>
      </c>
      <c r="I32" s="138"/>
      <c r="J32" s="138"/>
      <c r="K32" s="138"/>
    </row>
    <row r="33" spans="1:11" x14ac:dyDescent="0.25">
      <c r="A33" s="52" t="s">
        <v>82</v>
      </c>
      <c r="B33" s="138"/>
      <c r="C33" s="138"/>
      <c r="D33" s="138"/>
      <c r="E33" s="138"/>
      <c r="F33" s="138"/>
      <c r="G33" s="138" t="s">
        <v>194</v>
      </c>
      <c r="H33" s="138" t="s">
        <v>194</v>
      </c>
      <c r="I33" s="138"/>
      <c r="J33" s="138"/>
      <c r="K33" s="138"/>
    </row>
    <row r="34" spans="1:11" x14ac:dyDescent="0.25">
      <c r="A34" s="52" t="s">
        <v>81</v>
      </c>
      <c r="B34" s="138"/>
      <c r="C34" s="138"/>
      <c r="D34" s="138"/>
      <c r="E34" s="138"/>
      <c r="F34" s="138"/>
      <c r="G34" s="138" t="s">
        <v>194</v>
      </c>
      <c r="H34" s="138" t="s">
        <v>194</v>
      </c>
      <c r="I34" s="138"/>
      <c r="J34" s="138"/>
      <c r="K34" s="138"/>
    </row>
    <row r="35" spans="1:11" x14ac:dyDescent="0.25">
      <c r="A35" s="52" t="s">
        <v>79</v>
      </c>
      <c r="B35" s="138"/>
      <c r="C35" s="138"/>
      <c r="D35" s="138"/>
      <c r="E35" s="138"/>
      <c r="F35" s="138"/>
      <c r="G35" s="138" t="s">
        <v>194</v>
      </c>
      <c r="H35" s="138" t="s">
        <v>194</v>
      </c>
      <c r="I35" s="138"/>
      <c r="J35" s="138"/>
      <c r="K35" s="138"/>
    </row>
    <row r="36" spans="1:11" x14ac:dyDescent="0.25">
      <c r="A36" s="52" t="s">
        <v>80</v>
      </c>
      <c r="B36" s="138"/>
      <c r="C36" s="138"/>
      <c r="D36" s="138"/>
      <c r="E36" s="138"/>
      <c r="F36" s="138"/>
      <c r="G36" s="138" t="s">
        <v>194</v>
      </c>
      <c r="H36" s="138" t="s">
        <v>194</v>
      </c>
      <c r="I36" s="138"/>
      <c r="J36" s="138"/>
      <c r="K36" s="138"/>
    </row>
    <row r="37" spans="1:11" x14ac:dyDescent="0.25">
      <c r="A37" s="52" t="s">
        <v>85</v>
      </c>
      <c r="B37" s="138"/>
      <c r="C37" s="138"/>
      <c r="D37" s="138"/>
      <c r="E37" s="138"/>
      <c r="F37" s="138"/>
      <c r="G37" s="138"/>
      <c r="H37" s="138" t="s">
        <v>194</v>
      </c>
      <c r="I37" s="138"/>
      <c r="J37" s="138"/>
      <c r="K37" s="138"/>
    </row>
    <row r="38" spans="1:11" x14ac:dyDescent="0.25">
      <c r="A38" s="52" t="s">
        <v>60</v>
      </c>
      <c r="B38" s="138" t="s">
        <v>194</v>
      </c>
      <c r="C38" s="138"/>
      <c r="D38" s="138"/>
      <c r="E38" s="138"/>
      <c r="F38" s="138"/>
      <c r="G38" s="138" t="s">
        <v>194</v>
      </c>
      <c r="H38" s="138" t="s">
        <v>194</v>
      </c>
      <c r="I38" s="138"/>
      <c r="J38" s="138"/>
      <c r="K38" s="138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K14"/>
  <sheetViews>
    <sheetView workbookViewId="0">
      <selection activeCell="F8" sqref="F8"/>
    </sheetView>
  </sheetViews>
  <sheetFormatPr defaultColWidth="12.7265625" defaultRowHeight="12.5" x14ac:dyDescent="0.25"/>
  <cols>
    <col min="1" max="1" width="16.81640625" style="35" bestFit="1" customWidth="1"/>
    <col min="2" max="2" width="8.7265625" style="35" bestFit="1" customWidth="1"/>
    <col min="3" max="3" width="8.81640625" style="35" bestFit="1" customWidth="1"/>
    <col min="4" max="4" width="18.26953125" style="35" bestFit="1" customWidth="1"/>
    <col min="5" max="5" width="17.453125" style="35" bestFit="1" customWidth="1"/>
    <col min="6" max="6" width="13.54296875" style="35" bestFit="1" customWidth="1"/>
    <col min="7" max="7" width="9.7265625" style="35" bestFit="1" customWidth="1"/>
    <col min="8" max="8" width="8.81640625" style="35" bestFit="1" customWidth="1"/>
    <col min="9" max="9" width="14.7265625" style="35" bestFit="1" customWidth="1"/>
    <col min="10" max="10" width="15.26953125" style="35" bestFit="1" customWidth="1"/>
    <col min="11" max="16384" width="12.7265625" style="35"/>
  </cols>
  <sheetData>
    <row r="1" spans="1:11" ht="13" x14ac:dyDescent="0.3">
      <c r="A1" s="40" t="s">
        <v>218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35" t="s">
        <v>1</v>
      </c>
      <c r="B2" s="138" t="s">
        <v>194</v>
      </c>
      <c r="C2" s="138" t="s">
        <v>194</v>
      </c>
      <c r="D2" s="138" t="s">
        <v>194</v>
      </c>
      <c r="E2" s="138" t="s">
        <v>194</v>
      </c>
      <c r="F2" s="138" t="s">
        <v>194</v>
      </c>
      <c r="G2" s="138" t="s">
        <v>194</v>
      </c>
      <c r="H2" s="138" t="s">
        <v>194</v>
      </c>
      <c r="I2" s="138"/>
      <c r="J2" s="138"/>
      <c r="K2" s="138"/>
    </row>
    <row r="3" spans="1:11" x14ac:dyDescent="0.25">
      <c r="A3" s="35" t="s">
        <v>2</v>
      </c>
      <c r="B3" s="138" t="s">
        <v>194</v>
      </c>
      <c r="C3" s="138" t="s">
        <v>194</v>
      </c>
      <c r="D3" s="138" t="s">
        <v>194</v>
      </c>
      <c r="E3" s="138" t="s">
        <v>194</v>
      </c>
      <c r="F3" s="138" t="s">
        <v>194</v>
      </c>
      <c r="G3" s="138" t="s">
        <v>194</v>
      </c>
      <c r="H3" s="138" t="s">
        <v>194</v>
      </c>
      <c r="I3" s="138"/>
      <c r="J3" s="138"/>
      <c r="K3" s="138"/>
    </row>
    <row r="4" spans="1:11" x14ac:dyDescent="0.25">
      <c r="A4" s="35" t="s">
        <v>3</v>
      </c>
      <c r="B4" s="138" t="s">
        <v>194</v>
      </c>
      <c r="C4" s="138" t="s">
        <v>194</v>
      </c>
      <c r="D4" s="138" t="s">
        <v>194</v>
      </c>
      <c r="E4" s="138" t="s">
        <v>194</v>
      </c>
      <c r="F4" s="138" t="s">
        <v>194</v>
      </c>
      <c r="G4" s="138" t="s">
        <v>194</v>
      </c>
      <c r="H4" s="138" t="s">
        <v>194</v>
      </c>
      <c r="I4" s="138"/>
      <c r="J4" s="138"/>
      <c r="K4" s="138"/>
    </row>
    <row r="5" spans="1:11" x14ac:dyDescent="0.25">
      <c r="A5" s="35" t="s">
        <v>4</v>
      </c>
      <c r="B5" s="138" t="s">
        <v>194</v>
      </c>
      <c r="C5" s="138" t="s">
        <v>194</v>
      </c>
      <c r="D5" s="138" t="s">
        <v>194</v>
      </c>
      <c r="E5" s="138" t="s">
        <v>194</v>
      </c>
      <c r="F5" s="138" t="s">
        <v>194</v>
      </c>
      <c r="G5" s="138" t="s">
        <v>194</v>
      </c>
      <c r="H5" s="138" t="s">
        <v>194</v>
      </c>
      <c r="I5" s="138"/>
      <c r="J5" s="138"/>
      <c r="K5" s="138"/>
    </row>
    <row r="6" spans="1:11" x14ac:dyDescent="0.25">
      <c r="A6" s="35" t="s">
        <v>5</v>
      </c>
      <c r="B6" s="138" t="s">
        <v>194</v>
      </c>
      <c r="C6" s="138" t="s">
        <v>194</v>
      </c>
      <c r="D6" s="138" t="s">
        <v>194</v>
      </c>
      <c r="E6" s="138" t="s">
        <v>194</v>
      </c>
      <c r="F6" s="138" t="s">
        <v>194</v>
      </c>
      <c r="G6" s="138" t="s">
        <v>194</v>
      </c>
      <c r="H6" s="138" t="s">
        <v>194</v>
      </c>
      <c r="I6" s="138"/>
      <c r="J6" s="138"/>
      <c r="K6" s="138"/>
    </row>
    <row r="7" spans="1:11" x14ac:dyDescent="0.25">
      <c r="A7" s="35" t="s">
        <v>53</v>
      </c>
      <c r="B7" s="138"/>
      <c r="C7" s="138" t="s">
        <v>194</v>
      </c>
      <c r="D7" s="138"/>
      <c r="E7" s="138"/>
      <c r="F7" s="138"/>
      <c r="G7" s="138"/>
      <c r="H7" s="138" t="s">
        <v>194</v>
      </c>
      <c r="I7" s="138" t="s">
        <v>194</v>
      </c>
      <c r="J7" s="138"/>
      <c r="K7" s="138"/>
    </row>
    <row r="8" spans="1:11" x14ac:dyDescent="0.25">
      <c r="A8" s="35" t="s">
        <v>54</v>
      </c>
      <c r="B8" s="138"/>
      <c r="C8" s="138" t="s">
        <v>194</v>
      </c>
      <c r="D8" s="138"/>
      <c r="E8" s="138"/>
      <c r="F8" s="138"/>
      <c r="G8" s="138"/>
      <c r="H8" s="138" t="s">
        <v>194</v>
      </c>
      <c r="I8" s="138" t="s">
        <v>194</v>
      </c>
      <c r="J8" s="138"/>
      <c r="K8" s="138"/>
    </row>
    <row r="9" spans="1:11" x14ac:dyDescent="0.25">
      <c r="A9" s="35" t="s">
        <v>55</v>
      </c>
      <c r="B9" s="138"/>
      <c r="C9" s="138" t="s">
        <v>194</v>
      </c>
      <c r="D9" s="138"/>
      <c r="E9" s="138"/>
      <c r="F9" s="138"/>
      <c r="G9" s="138"/>
      <c r="H9" s="138" t="s">
        <v>194</v>
      </c>
      <c r="I9" s="138" t="s">
        <v>194</v>
      </c>
      <c r="J9" s="138"/>
      <c r="K9" s="138"/>
    </row>
    <row r="10" spans="1:11" x14ac:dyDescent="0.25">
      <c r="A10" s="35" t="s">
        <v>56</v>
      </c>
      <c r="B10" s="138"/>
      <c r="C10" s="138" t="s">
        <v>194</v>
      </c>
      <c r="D10" s="138"/>
      <c r="E10" s="138"/>
      <c r="F10" s="138"/>
      <c r="G10" s="138"/>
      <c r="H10" s="138" t="s">
        <v>194</v>
      </c>
      <c r="I10" s="138" t="s">
        <v>194</v>
      </c>
      <c r="J10" s="138"/>
      <c r="K10" s="138"/>
    </row>
    <row r="11" spans="1:11" x14ac:dyDescent="0.25">
      <c r="A11" s="35" t="s">
        <v>49</v>
      </c>
      <c r="B11" s="138"/>
      <c r="C11" s="138" t="s">
        <v>194</v>
      </c>
      <c r="D11" s="138"/>
      <c r="E11" s="138"/>
      <c r="F11" s="138"/>
      <c r="G11" s="138"/>
      <c r="H11" s="138"/>
      <c r="I11" s="138"/>
      <c r="J11" s="138" t="s">
        <v>194</v>
      </c>
      <c r="K11" s="138" t="s">
        <v>194</v>
      </c>
    </row>
    <row r="12" spans="1:11" x14ac:dyDescent="0.25">
      <c r="A12" s="35" t="s">
        <v>50</v>
      </c>
      <c r="B12" s="138"/>
      <c r="C12" s="138" t="s">
        <v>194</v>
      </c>
      <c r="D12" s="138"/>
      <c r="E12" s="138"/>
      <c r="F12" s="138"/>
      <c r="G12" s="138"/>
      <c r="H12" s="138"/>
      <c r="I12" s="138"/>
      <c r="J12" s="138"/>
      <c r="K12" s="138" t="s">
        <v>194</v>
      </c>
    </row>
    <row r="13" spans="1:11" x14ac:dyDescent="0.25">
      <c r="A13" s="35" t="s">
        <v>51</v>
      </c>
      <c r="B13" s="138"/>
      <c r="C13" s="138" t="s">
        <v>194</v>
      </c>
      <c r="D13" s="138"/>
      <c r="E13" s="138"/>
      <c r="F13" s="138"/>
      <c r="G13" s="138"/>
      <c r="H13" s="138"/>
      <c r="I13" s="138"/>
      <c r="J13" s="138"/>
      <c r="K13" s="138" t="s">
        <v>194</v>
      </c>
    </row>
    <row r="14" spans="1:11" x14ac:dyDescent="0.25">
      <c r="A14" s="35" t="s">
        <v>52</v>
      </c>
      <c r="B14" s="138"/>
      <c r="C14" s="138" t="s">
        <v>194</v>
      </c>
      <c r="D14" s="138"/>
      <c r="E14" s="138"/>
      <c r="F14" s="138"/>
      <c r="G14" s="138"/>
      <c r="H14" s="138"/>
      <c r="I14" s="138"/>
      <c r="J14" s="138"/>
      <c r="K14" s="138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C19" sqref="C19"/>
    </sheetView>
  </sheetViews>
  <sheetFormatPr defaultColWidth="14.453125" defaultRowHeight="15.75" customHeight="1" x14ac:dyDescent="0.25"/>
  <cols>
    <col min="1" max="1" width="8.453125" style="12" customWidth="1"/>
    <col min="2" max="9" width="16.81640625" style="12" customWidth="1"/>
    <col min="10" max="16384" width="14.453125" style="12"/>
  </cols>
  <sheetData>
    <row r="1" spans="1:9" s="21" customFormat="1" ht="30" customHeight="1" x14ac:dyDescent="0.3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2017</v>
      </c>
      <c r="B2" s="77">
        <v>164595.97824</v>
      </c>
      <c r="C2" s="78">
        <v>271196</v>
      </c>
      <c r="D2" s="78">
        <v>390509</v>
      </c>
      <c r="E2" s="78">
        <v>259864</v>
      </c>
      <c r="F2" s="78">
        <v>169794</v>
      </c>
      <c r="G2" s="22">
        <f t="shared" ref="G2:G40" si="0">C2+D2+E2+F2</f>
        <v>1091363</v>
      </c>
      <c r="H2" s="22">
        <f t="shared" ref="H2:H40" si="1">(B2 + stillbirth*B2/(1000-stillbirth))/(1-abortion)</f>
        <v>195930.79907436506</v>
      </c>
      <c r="I2" s="22">
        <f>G2-H2</f>
        <v>895432.20092563494</v>
      </c>
    </row>
    <row r="3" spans="1:9" ht="15.75" customHeight="1" x14ac:dyDescent="0.25">
      <c r="A3" s="7">
        <f t="shared" ref="A3:A40" si="2">IF($A$2+ROW(A3)-2&lt;=end_year,A2+1,"")</f>
        <v>2018</v>
      </c>
      <c r="B3" s="77">
        <v>166118.69500000001</v>
      </c>
      <c r="C3" s="78">
        <v>278000</v>
      </c>
      <c r="D3" s="78">
        <v>402000</v>
      </c>
      <c r="E3" s="78">
        <v>265000</v>
      </c>
      <c r="F3" s="78">
        <v>173000</v>
      </c>
      <c r="G3" s="22">
        <f t="shared" si="0"/>
        <v>1118000</v>
      </c>
      <c r="H3" s="22">
        <f t="shared" si="1"/>
        <v>197743.40175603997</v>
      </c>
      <c r="I3" s="22">
        <f t="shared" ref="I3:I15" si="3">G3-H3</f>
        <v>920256.59824396006</v>
      </c>
    </row>
    <row r="4" spans="1:9" ht="15.75" customHeight="1" x14ac:dyDescent="0.25">
      <c r="A4" s="7">
        <f t="shared" si="2"/>
        <v>2019</v>
      </c>
      <c r="B4" s="77">
        <v>167986.62533333333</v>
      </c>
      <c r="C4" s="78">
        <v>286000</v>
      </c>
      <c r="D4" s="78">
        <v>416000</v>
      </c>
      <c r="E4" s="78">
        <v>270000</v>
      </c>
      <c r="F4" s="78">
        <v>178000</v>
      </c>
      <c r="G4" s="22">
        <f t="shared" si="0"/>
        <v>1150000</v>
      </c>
      <c r="H4" s="22">
        <f t="shared" si="1"/>
        <v>199966.93775454166</v>
      </c>
      <c r="I4" s="22">
        <f t="shared" si="3"/>
        <v>950033.06224545836</v>
      </c>
    </row>
    <row r="5" spans="1:9" ht="15.75" customHeight="1" x14ac:dyDescent="0.25">
      <c r="A5" s="7">
        <f t="shared" si="2"/>
        <v>2020</v>
      </c>
      <c r="B5" s="77">
        <v>170015.62899999999</v>
      </c>
      <c r="C5" s="78">
        <v>293000</v>
      </c>
      <c r="D5" s="78">
        <v>430000</v>
      </c>
      <c r="E5" s="78">
        <v>275000</v>
      </c>
      <c r="F5" s="78">
        <v>182000</v>
      </c>
      <c r="G5" s="22">
        <f t="shared" si="0"/>
        <v>1180000</v>
      </c>
      <c r="H5" s="22">
        <f t="shared" si="1"/>
        <v>202382.21128665161</v>
      </c>
      <c r="I5" s="22">
        <f t="shared" si="3"/>
        <v>977617.78871334833</v>
      </c>
    </row>
    <row r="6" spans="1:9" ht="15.75" customHeight="1" x14ac:dyDescent="0.25">
      <c r="A6" s="7">
        <f t="shared" si="2"/>
        <v>2021</v>
      </c>
      <c r="B6" s="77">
        <v>172641.51459999999</v>
      </c>
      <c r="C6" s="78">
        <v>299000</v>
      </c>
      <c r="D6" s="78">
        <v>449000</v>
      </c>
      <c r="E6" s="78">
        <v>283000</v>
      </c>
      <c r="F6" s="78">
        <v>188000</v>
      </c>
      <c r="G6" s="22">
        <f t="shared" si="0"/>
        <v>1219000</v>
      </c>
      <c r="H6" s="22">
        <f t="shared" si="1"/>
        <v>205507.99764782065</v>
      </c>
      <c r="I6" s="22">
        <f t="shared" si="3"/>
        <v>1013492.0023521794</v>
      </c>
    </row>
    <row r="7" spans="1:9" ht="15.75" customHeight="1" x14ac:dyDescent="0.25">
      <c r="A7" s="7">
        <f t="shared" si="2"/>
        <v>2022</v>
      </c>
      <c r="B7" s="77">
        <v>175470.26479999998</v>
      </c>
      <c r="C7" s="78">
        <v>305000</v>
      </c>
      <c r="D7" s="78">
        <v>467000</v>
      </c>
      <c r="E7" s="78">
        <v>292000</v>
      </c>
      <c r="F7" s="78">
        <v>194000</v>
      </c>
      <c r="G7" s="22">
        <f t="shared" si="0"/>
        <v>1258000</v>
      </c>
      <c r="H7" s="22">
        <f t="shared" si="1"/>
        <v>208875.26878648493</v>
      </c>
      <c r="I7" s="22">
        <f t="shared" si="3"/>
        <v>1049124.7312135152</v>
      </c>
    </row>
    <row r="8" spans="1:9" ht="15.75" customHeight="1" x14ac:dyDescent="0.25">
      <c r="A8" s="7">
        <f t="shared" si="2"/>
        <v>2023</v>
      </c>
      <c r="B8" s="77">
        <v>178498.12479999996</v>
      </c>
      <c r="C8" s="78">
        <v>310000</v>
      </c>
      <c r="D8" s="78">
        <v>486000</v>
      </c>
      <c r="E8" s="78">
        <v>301000</v>
      </c>
      <c r="F8" s="78">
        <v>200000</v>
      </c>
      <c r="G8" s="22">
        <f t="shared" si="0"/>
        <v>1297000</v>
      </c>
      <c r="H8" s="22">
        <f t="shared" si="1"/>
        <v>212479.55508575452</v>
      </c>
      <c r="I8" s="22">
        <f t="shared" si="3"/>
        <v>1084520.4449142455</v>
      </c>
    </row>
    <row r="9" spans="1:9" ht="15.75" customHeight="1" x14ac:dyDescent="0.25">
      <c r="A9" s="7">
        <f t="shared" si="2"/>
        <v>2024</v>
      </c>
      <c r="B9" s="77">
        <v>181586.00459999993</v>
      </c>
      <c r="C9" s="78">
        <v>314000</v>
      </c>
      <c r="D9" s="78">
        <v>505000</v>
      </c>
      <c r="E9" s="78">
        <v>311000</v>
      </c>
      <c r="F9" s="78">
        <v>207000</v>
      </c>
      <c r="G9" s="22">
        <f t="shared" si="0"/>
        <v>1337000</v>
      </c>
      <c r="H9" s="22">
        <f t="shared" si="1"/>
        <v>216155.28740393673</v>
      </c>
      <c r="I9" s="22">
        <f t="shared" si="3"/>
        <v>1120844.7125960633</v>
      </c>
    </row>
    <row r="10" spans="1:9" ht="15.75" customHeight="1" x14ac:dyDescent="0.25">
      <c r="A10" s="7">
        <f t="shared" si="2"/>
        <v>2025</v>
      </c>
      <c r="B10" s="77">
        <v>184732.29500000001</v>
      </c>
      <c r="C10" s="78">
        <v>319000</v>
      </c>
      <c r="D10" s="78">
        <v>523000</v>
      </c>
      <c r="E10" s="78">
        <v>324000</v>
      </c>
      <c r="F10" s="78">
        <v>213000</v>
      </c>
      <c r="G10" s="22">
        <f t="shared" si="0"/>
        <v>1379000</v>
      </c>
      <c r="H10" s="22">
        <f t="shared" si="1"/>
        <v>219900.55019093605</v>
      </c>
      <c r="I10" s="22">
        <f t="shared" si="3"/>
        <v>1159099.4498090639</v>
      </c>
    </row>
    <row r="11" spans="1:9" ht="15.75" customHeight="1" x14ac:dyDescent="0.25">
      <c r="A11" s="7">
        <f t="shared" si="2"/>
        <v>2026</v>
      </c>
      <c r="B11" s="77">
        <v>186966.78480000002</v>
      </c>
      <c r="C11" s="78">
        <v>323000</v>
      </c>
      <c r="D11" s="78">
        <v>538000</v>
      </c>
      <c r="E11" s="78">
        <v>336000</v>
      </c>
      <c r="F11" s="78">
        <v>221000</v>
      </c>
      <c r="G11" s="22">
        <f t="shared" si="0"/>
        <v>1418000</v>
      </c>
      <c r="H11" s="22">
        <f t="shared" si="1"/>
        <v>222560.42910607666</v>
      </c>
      <c r="I11" s="22">
        <f t="shared" si="3"/>
        <v>1195439.5708939233</v>
      </c>
    </row>
    <row r="12" spans="1:9" ht="15.75" customHeight="1" x14ac:dyDescent="0.25">
      <c r="A12" s="7">
        <f t="shared" si="2"/>
        <v>2027</v>
      </c>
      <c r="B12" s="77">
        <v>189148.57960000003</v>
      </c>
      <c r="C12" s="78">
        <v>326000</v>
      </c>
      <c r="D12" s="78">
        <v>552000</v>
      </c>
      <c r="E12" s="78">
        <v>351000</v>
      </c>
      <c r="F12" s="78">
        <v>227000</v>
      </c>
      <c r="G12" s="22">
        <f t="shared" si="0"/>
        <v>1456000</v>
      </c>
      <c r="H12" s="22">
        <f t="shared" si="1"/>
        <v>225157.5812549401</v>
      </c>
      <c r="I12" s="22">
        <f t="shared" si="3"/>
        <v>1230842.41874506</v>
      </c>
    </row>
    <row r="13" spans="1:9" ht="15.75" customHeight="1" x14ac:dyDescent="0.25">
      <c r="A13" s="7">
        <f t="shared" si="2"/>
        <v>2028</v>
      </c>
      <c r="B13" s="77">
        <v>191276.64320000005</v>
      </c>
      <c r="C13" s="78">
        <v>330000</v>
      </c>
      <c r="D13" s="78">
        <v>566000</v>
      </c>
      <c r="E13" s="78">
        <v>367000</v>
      </c>
      <c r="F13" s="78">
        <v>235000</v>
      </c>
      <c r="G13" s="22">
        <f t="shared" si="0"/>
        <v>1498000</v>
      </c>
      <c r="H13" s="22">
        <f t="shared" si="1"/>
        <v>227690.77317182341</v>
      </c>
      <c r="I13" s="22">
        <f t="shared" si="3"/>
        <v>1270309.2268281765</v>
      </c>
    </row>
    <row r="14" spans="1:9" ht="15.75" customHeight="1" x14ac:dyDescent="0.25">
      <c r="A14" s="7">
        <f t="shared" si="2"/>
        <v>2029</v>
      </c>
      <c r="B14" s="77">
        <v>193414.48620000004</v>
      </c>
      <c r="C14" s="78">
        <v>334000</v>
      </c>
      <c r="D14" s="78">
        <v>580000</v>
      </c>
      <c r="E14" s="78">
        <v>384000</v>
      </c>
      <c r="F14" s="78">
        <v>242000</v>
      </c>
      <c r="G14" s="22">
        <f t="shared" si="0"/>
        <v>1540000</v>
      </c>
      <c r="H14" s="22">
        <f t="shared" si="1"/>
        <v>230235.60623375143</v>
      </c>
      <c r="I14" s="22">
        <f t="shared" si="3"/>
        <v>1309764.3937662486</v>
      </c>
    </row>
    <row r="15" spans="1:9" ht="15.75" customHeight="1" x14ac:dyDescent="0.25">
      <c r="A15" s="7">
        <f t="shared" si="2"/>
        <v>2030</v>
      </c>
      <c r="B15" s="77">
        <v>195527.07199999999</v>
      </c>
      <c r="C15" s="78">
        <v>337000</v>
      </c>
      <c r="D15" s="78">
        <v>592000</v>
      </c>
      <c r="E15" s="78">
        <v>401000</v>
      </c>
      <c r="F15" s="78">
        <v>250000</v>
      </c>
      <c r="G15" s="22">
        <f t="shared" si="0"/>
        <v>1580000</v>
      </c>
      <c r="H15" s="22">
        <f t="shared" si="1"/>
        <v>232750.37377748571</v>
      </c>
      <c r="I15" s="22">
        <f t="shared" si="3"/>
        <v>1347249.6262225143</v>
      </c>
    </row>
    <row r="16" spans="1:9" ht="15.75" customHeight="1" x14ac:dyDescent="0.25">
      <c r="A16" s="7" t="str">
        <f t="shared" si="2"/>
        <v/>
      </c>
      <c r="B16" s="77"/>
      <c r="C16" s="78"/>
      <c r="D16" s="78"/>
      <c r="E16" s="78"/>
      <c r="F16" s="78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7">
        <v>110</v>
      </c>
      <c r="C17" s="77"/>
      <c r="D17" s="78"/>
      <c r="E17" s="78"/>
      <c r="F17" s="78"/>
      <c r="G17" s="22">
        <f t="shared" si="0"/>
        <v>0</v>
      </c>
      <c r="H17" s="22">
        <f t="shared" si="1"/>
        <v>130.9411574246017</v>
      </c>
      <c r="I17" s="22">
        <f t="shared" si="4"/>
        <v>-130.9411574246017</v>
      </c>
    </row>
    <row r="18" spans="1:9" ht="15.75" customHeight="1" x14ac:dyDescent="0.25">
      <c r="A18" s="7" t="str">
        <f t="shared" si="2"/>
        <v/>
      </c>
      <c r="B18" s="77"/>
      <c r="C18" s="78"/>
      <c r="D18" s="78"/>
      <c r="E18" s="78"/>
      <c r="F18" s="78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7"/>
      <c r="C19" s="78"/>
      <c r="D19" s="78"/>
      <c r="E19" s="78"/>
      <c r="F19" s="78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7"/>
      <c r="C20" s="78"/>
      <c r="D20" s="78"/>
      <c r="E20" s="78"/>
      <c r="F20" s="78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7"/>
      <c r="C21" s="78"/>
      <c r="D21" s="78"/>
      <c r="E21" s="78"/>
      <c r="F21" s="78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7"/>
      <c r="C22" s="78"/>
      <c r="D22" s="78"/>
      <c r="E22" s="78"/>
      <c r="F22" s="78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7"/>
      <c r="C23" s="78"/>
      <c r="D23" s="78"/>
      <c r="E23" s="78"/>
      <c r="F23" s="78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7"/>
      <c r="C24" s="78"/>
      <c r="D24" s="78"/>
      <c r="E24" s="78"/>
      <c r="F24" s="78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7"/>
      <c r="C25" s="78"/>
      <c r="D25" s="78"/>
      <c r="E25" s="78"/>
      <c r="F25" s="78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7"/>
      <c r="C26" s="78"/>
      <c r="D26" s="78"/>
      <c r="E26" s="78"/>
      <c r="F26" s="78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7"/>
      <c r="C27" s="78"/>
      <c r="D27" s="78"/>
      <c r="E27" s="78"/>
      <c r="F27" s="78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7"/>
      <c r="C28" s="78"/>
      <c r="D28" s="78"/>
      <c r="E28" s="78"/>
      <c r="F28" s="78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7"/>
      <c r="C29" s="78"/>
      <c r="D29" s="78"/>
      <c r="E29" s="78"/>
      <c r="F29" s="78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7"/>
      <c r="C30" s="78"/>
      <c r="D30" s="78"/>
      <c r="E30" s="78"/>
      <c r="F30" s="78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7"/>
      <c r="C31" s="78"/>
      <c r="D31" s="78"/>
      <c r="E31" s="78"/>
      <c r="F31" s="78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7"/>
      <c r="C32" s="78"/>
      <c r="D32" s="78"/>
      <c r="E32" s="78"/>
      <c r="F32" s="78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7"/>
      <c r="C33" s="78"/>
      <c r="D33" s="78"/>
      <c r="E33" s="78"/>
      <c r="F33" s="78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7"/>
      <c r="C34" s="78"/>
      <c r="D34" s="78"/>
      <c r="E34" s="78"/>
      <c r="F34" s="78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7"/>
      <c r="C35" s="78"/>
      <c r="D35" s="78"/>
      <c r="E35" s="78"/>
      <c r="F35" s="78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7"/>
      <c r="C36" s="78"/>
      <c r="D36" s="78"/>
      <c r="E36" s="78"/>
      <c r="F36" s="78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7"/>
      <c r="C37" s="78"/>
      <c r="D37" s="78"/>
      <c r="E37" s="78"/>
      <c r="F37" s="78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7"/>
      <c r="C38" s="78"/>
      <c r="D38" s="78"/>
      <c r="E38" s="78"/>
      <c r="F38" s="78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7"/>
      <c r="C39" s="78"/>
      <c r="D39" s="78"/>
      <c r="E39" s="78"/>
      <c r="F39" s="78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7"/>
      <c r="C40" s="78"/>
      <c r="D40" s="78"/>
      <c r="E40" s="78"/>
      <c r="F40" s="78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G2:I15 B16:I40">
    <cfRule type="expression" dxfId="1" priority="10">
      <formula>$A2=""</formula>
    </cfRule>
  </conditionalFormatting>
  <conditionalFormatting sqref="B2:F15">
    <cfRule type="expression" dxfId="0" priority="1">
      <formula>$A2=""</formula>
    </cfRule>
  </conditionalFormatting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J51"/>
  <sheetViews>
    <sheetView zoomScale="85" zoomScaleNormal="85" workbookViewId="0">
      <selection activeCell="G15" sqref="G15"/>
    </sheetView>
  </sheetViews>
  <sheetFormatPr defaultColWidth="12.7265625" defaultRowHeight="12.5" x14ac:dyDescent="0.25"/>
  <cols>
    <col min="1" max="1" width="48.1796875" style="35" customWidth="1"/>
    <col min="2" max="2" width="15" style="35" customWidth="1"/>
    <col min="3" max="3" width="14.7265625" style="35" customWidth="1"/>
    <col min="4" max="16384" width="12.7265625" style="35"/>
  </cols>
  <sheetData>
    <row r="1" spans="1:10" ht="13" x14ac:dyDescent="0.3">
      <c r="A1" s="40" t="s">
        <v>219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9" t="s">
        <v>5</v>
      </c>
    </row>
    <row r="2" spans="1:10" ht="13" x14ac:dyDescent="0.3">
      <c r="A2" s="40" t="s">
        <v>220</v>
      </c>
      <c r="B2" s="146" t="s">
        <v>32</v>
      </c>
      <c r="C2" s="35" t="s">
        <v>176</v>
      </c>
      <c r="D2" s="139">
        <v>1</v>
      </c>
      <c r="E2" s="139">
        <v>1</v>
      </c>
      <c r="F2" s="139">
        <v>1</v>
      </c>
      <c r="G2" s="139">
        <v>1</v>
      </c>
      <c r="H2" s="139">
        <v>1</v>
      </c>
    </row>
    <row r="3" spans="1:10" x14ac:dyDescent="0.25">
      <c r="B3" s="146"/>
      <c r="C3" s="35" t="s">
        <v>175</v>
      </c>
      <c r="D3" s="139">
        <v>1</v>
      </c>
      <c r="E3" s="139">
        <v>1</v>
      </c>
      <c r="F3" s="139">
        <v>1</v>
      </c>
      <c r="G3" s="139">
        <v>1</v>
      </c>
      <c r="H3" s="139">
        <v>1</v>
      </c>
      <c r="J3" s="100"/>
    </row>
    <row r="4" spans="1:10" x14ac:dyDescent="0.25">
      <c r="B4" s="146"/>
      <c r="C4" s="35" t="s">
        <v>174</v>
      </c>
      <c r="D4" s="139">
        <v>1</v>
      </c>
      <c r="E4" s="139">
        <v>1</v>
      </c>
      <c r="F4" s="139">
        <v>1</v>
      </c>
      <c r="G4" s="139">
        <v>1</v>
      </c>
      <c r="H4" s="139">
        <v>1</v>
      </c>
      <c r="J4" s="100"/>
    </row>
    <row r="5" spans="1:10" x14ac:dyDescent="0.25">
      <c r="B5" s="146" t="s">
        <v>1</v>
      </c>
      <c r="C5" s="35" t="s">
        <v>176</v>
      </c>
      <c r="D5" s="139">
        <f>5.16</f>
        <v>5.16</v>
      </c>
      <c r="E5" s="139">
        <v>1</v>
      </c>
      <c r="F5" s="139">
        <v>1</v>
      </c>
      <c r="G5" s="139">
        <v>1</v>
      </c>
      <c r="H5" s="139">
        <v>1</v>
      </c>
    </row>
    <row r="6" spans="1:10" x14ac:dyDescent="0.25">
      <c r="B6" s="146"/>
      <c r="C6" s="35" t="s">
        <v>175</v>
      </c>
      <c r="D6" s="139">
        <v>5.16</v>
      </c>
      <c r="E6" s="139">
        <v>1</v>
      </c>
      <c r="F6" s="139">
        <v>1</v>
      </c>
      <c r="G6" s="139">
        <v>1</v>
      </c>
      <c r="H6" s="139">
        <v>1</v>
      </c>
    </row>
    <row r="7" spans="1:10" x14ac:dyDescent="0.25">
      <c r="B7" s="146"/>
      <c r="C7" s="35" t="s">
        <v>174</v>
      </c>
      <c r="D7" s="139">
        <v>1</v>
      </c>
      <c r="E7" s="139">
        <v>1</v>
      </c>
      <c r="F7" s="139">
        <v>1</v>
      </c>
      <c r="G7" s="139">
        <v>1</v>
      </c>
      <c r="H7" s="139">
        <v>1</v>
      </c>
    </row>
    <row r="8" spans="1:10" x14ac:dyDescent="0.25">
      <c r="B8" s="146" t="s">
        <v>2</v>
      </c>
      <c r="C8" s="35" t="s">
        <v>176</v>
      </c>
      <c r="D8" s="139">
        <v>1</v>
      </c>
      <c r="E8" s="139">
        <v>5.16</v>
      </c>
      <c r="F8" s="139">
        <v>1</v>
      </c>
      <c r="G8" s="139">
        <v>1</v>
      </c>
      <c r="H8" s="139">
        <v>1</v>
      </c>
    </row>
    <row r="9" spans="1:10" x14ac:dyDescent="0.25">
      <c r="B9" s="146"/>
      <c r="C9" s="35" t="s">
        <v>175</v>
      </c>
      <c r="D9" s="139">
        <v>1</v>
      </c>
      <c r="E9" s="139">
        <v>5.16</v>
      </c>
      <c r="F9" s="139">
        <v>1</v>
      </c>
      <c r="G9" s="139">
        <v>1</v>
      </c>
      <c r="H9" s="139">
        <v>1</v>
      </c>
    </row>
    <row r="10" spans="1:10" x14ac:dyDescent="0.25">
      <c r="B10" s="146"/>
      <c r="C10" s="35" t="s">
        <v>174</v>
      </c>
      <c r="D10" s="139">
        <v>1</v>
      </c>
      <c r="E10" s="139">
        <v>1</v>
      </c>
      <c r="F10" s="139">
        <v>1</v>
      </c>
      <c r="G10" s="139">
        <v>1</v>
      </c>
      <c r="H10" s="139">
        <v>1</v>
      </c>
    </row>
    <row r="11" spans="1:10" x14ac:dyDescent="0.25">
      <c r="B11" s="146" t="s">
        <v>3</v>
      </c>
      <c r="C11" s="35" t="s">
        <v>176</v>
      </c>
      <c r="D11" s="139">
        <v>1</v>
      </c>
      <c r="E11" s="139">
        <v>1</v>
      </c>
      <c r="F11" s="139">
        <v>1.82</v>
      </c>
      <c r="G11" s="139">
        <v>1</v>
      </c>
      <c r="H11" s="139">
        <v>1</v>
      </c>
    </row>
    <row r="12" spans="1:10" x14ac:dyDescent="0.25">
      <c r="B12" s="146"/>
      <c r="C12" s="35" t="s">
        <v>175</v>
      </c>
      <c r="D12" s="139">
        <v>1</v>
      </c>
      <c r="E12" s="139">
        <v>1</v>
      </c>
      <c r="F12" s="139">
        <v>1.82</v>
      </c>
      <c r="G12" s="139">
        <v>1</v>
      </c>
      <c r="H12" s="139">
        <v>1</v>
      </c>
    </row>
    <row r="13" spans="1:10" x14ac:dyDescent="0.25">
      <c r="B13" s="146"/>
      <c r="C13" s="35" t="s">
        <v>174</v>
      </c>
      <c r="D13" s="139">
        <v>1</v>
      </c>
      <c r="E13" s="139">
        <v>1</v>
      </c>
      <c r="F13" s="139">
        <v>1</v>
      </c>
      <c r="G13" s="139">
        <v>1</v>
      </c>
      <c r="H13" s="139">
        <v>1</v>
      </c>
    </row>
    <row r="14" spans="1:10" x14ac:dyDescent="0.25">
      <c r="B14" s="146" t="s">
        <v>4</v>
      </c>
      <c r="C14" s="35" t="s">
        <v>176</v>
      </c>
      <c r="D14" s="139">
        <v>1</v>
      </c>
      <c r="E14" s="139">
        <v>1</v>
      </c>
      <c r="F14" s="139">
        <v>1</v>
      </c>
      <c r="G14" s="139">
        <v>1.82</v>
      </c>
      <c r="H14" s="139">
        <v>1</v>
      </c>
    </row>
    <row r="15" spans="1:10" x14ac:dyDescent="0.25">
      <c r="B15" s="146"/>
      <c r="C15" s="35" t="s">
        <v>175</v>
      </c>
      <c r="D15" s="139">
        <v>1</v>
      </c>
      <c r="E15" s="139">
        <v>1</v>
      </c>
      <c r="F15" s="139">
        <v>1</v>
      </c>
      <c r="G15" s="139">
        <v>1.82</v>
      </c>
      <c r="H15" s="139">
        <v>1</v>
      </c>
    </row>
    <row r="16" spans="1:10" x14ac:dyDescent="0.25">
      <c r="B16" s="146"/>
      <c r="C16" s="35" t="s">
        <v>174</v>
      </c>
      <c r="D16" s="139">
        <v>1</v>
      </c>
      <c r="E16" s="139">
        <v>1</v>
      </c>
      <c r="F16" s="139">
        <v>1</v>
      </c>
      <c r="G16" s="139">
        <v>1</v>
      </c>
      <c r="H16" s="139">
        <v>1</v>
      </c>
    </row>
    <row r="17" spans="1:8" ht="13" x14ac:dyDescent="0.25">
      <c r="B17" s="101" t="s">
        <v>172</v>
      </c>
      <c r="C17" s="35" t="s">
        <v>174</v>
      </c>
      <c r="D17" s="139">
        <v>1.05</v>
      </c>
      <c r="E17" s="139">
        <v>1.05</v>
      </c>
      <c r="F17" s="139">
        <v>1.05</v>
      </c>
      <c r="G17" s="139">
        <v>1.05</v>
      </c>
      <c r="H17" s="139">
        <v>1</v>
      </c>
    </row>
    <row r="18" spans="1:8" x14ac:dyDescent="0.25">
      <c r="D18" s="137"/>
      <c r="E18" s="137"/>
      <c r="F18" s="137"/>
      <c r="G18" s="137"/>
      <c r="H18" s="137"/>
    </row>
    <row r="19" spans="1:8" ht="13" x14ac:dyDescent="0.3">
      <c r="A19" s="40" t="s">
        <v>221</v>
      </c>
      <c r="B19" s="146" t="s">
        <v>32</v>
      </c>
      <c r="C19" s="35" t="s">
        <v>176</v>
      </c>
      <c r="D19" s="139">
        <v>1</v>
      </c>
      <c r="E19" s="139">
        <v>1</v>
      </c>
      <c r="F19" s="139">
        <v>0.98</v>
      </c>
      <c r="G19" s="139">
        <v>0.98</v>
      </c>
      <c r="H19" s="139">
        <v>1</v>
      </c>
    </row>
    <row r="20" spans="1:8" x14ac:dyDescent="0.25">
      <c r="B20" s="146"/>
      <c r="C20" s="35" t="s">
        <v>175</v>
      </c>
      <c r="D20" s="139">
        <v>1</v>
      </c>
      <c r="E20" s="139">
        <v>1</v>
      </c>
      <c r="F20" s="139">
        <v>0.98</v>
      </c>
      <c r="G20" s="139">
        <v>0.98</v>
      </c>
      <c r="H20" s="139">
        <v>1</v>
      </c>
    </row>
    <row r="21" spans="1:8" x14ac:dyDescent="0.25">
      <c r="B21" s="146"/>
      <c r="C21" s="35" t="s">
        <v>174</v>
      </c>
      <c r="D21" s="139">
        <v>1</v>
      </c>
      <c r="E21" s="139">
        <v>1</v>
      </c>
      <c r="F21" s="139">
        <v>0.99</v>
      </c>
      <c r="G21" s="139">
        <v>0.99</v>
      </c>
      <c r="H21" s="139">
        <v>1</v>
      </c>
    </row>
    <row r="22" spans="1:8" x14ac:dyDescent="0.25">
      <c r="B22" s="146" t="s">
        <v>1</v>
      </c>
      <c r="C22" s="35" t="s">
        <v>176</v>
      </c>
      <c r="D22" s="139">
        <v>1</v>
      </c>
      <c r="E22" s="139">
        <v>1</v>
      </c>
      <c r="F22" s="139">
        <v>1</v>
      </c>
      <c r="G22" s="139">
        <v>1</v>
      </c>
      <c r="H22" s="139">
        <v>1</v>
      </c>
    </row>
    <row r="23" spans="1:8" x14ac:dyDescent="0.25">
      <c r="B23" s="146"/>
      <c r="C23" s="35" t="s">
        <v>175</v>
      </c>
      <c r="D23" s="139">
        <v>1</v>
      </c>
      <c r="E23" s="139">
        <v>1</v>
      </c>
      <c r="F23" s="139">
        <v>1</v>
      </c>
      <c r="G23" s="139">
        <v>1</v>
      </c>
      <c r="H23" s="139">
        <v>1</v>
      </c>
    </row>
    <row r="24" spans="1:8" x14ac:dyDescent="0.25">
      <c r="B24" s="146"/>
      <c r="C24" s="35" t="s">
        <v>174</v>
      </c>
      <c r="D24" s="139">
        <v>1</v>
      </c>
      <c r="E24" s="139">
        <v>1</v>
      </c>
      <c r="F24" s="139">
        <v>0.99</v>
      </c>
      <c r="G24" s="139">
        <v>0.99</v>
      </c>
      <c r="H24" s="139">
        <v>1</v>
      </c>
    </row>
    <row r="25" spans="1:8" x14ac:dyDescent="0.25">
      <c r="B25" s="146" t="s">
        <v>2</v>
      </c>
      <c r="C25" s="35" t="s">
        <v>176</v>
      </c>
      <c r="D25" s="139">
        <v>1</v>
      </c>
      <c r="E25" s="139">
        <v>1</v>
      </c>
      <c r="F25" s="139">
        <v>1</v>
      </c>
      <c r="G25" s="139">
        <v>1</v>
      </c>
      <c r="H25" s="139">
        <v>1</v>
      </c>
    </row>
    <row r="26" spans="1:8" x14ac:dyDescent="0.25">
      <c r="B26" s="146"/>
      <c r="C26" s="35" t="s">
        <v>175</v>
      </c>
      <c r="D26" s="139">
        <v>1</v>
      </c>
      <c r="E26" s="139">
        <v>1</v>
      </c>
      <c r="F26" s="139">
        <v>1</v>
      </c>
      <c r="G26" s="139">
        <v>1</v>
      </c>
      <c r="H26" s="139">
        <v>1</v>
      </c>
    </row>
    <row r="27" spans="1:8" x14ac:dyDescent="0.25">
      <c r="B27" s="146"/>
      <c r="C27" s="35" t="s">
        <v>174</v>
      </c>
      <c r="D27" s="139">
        <v>1</v>
      </c>
      <c r="E27" s="139">
        <v>1</v>
      </c>
      <c r="F27" s="139">
        <v>0.99</v>
      </c>
      <c r="G27" s="139">
        <v>0.99</v>
      </c>
      <c r="H27" s="139">
        <v>1</v>
      </c>
    </row>
    <row r="28" spans="1:8" x14ac:dyDescent="0.25">
      <c r="B28" s="146" t="s">
        <v>3</v>
      </c>
      <c r="C28" s="35" t="s">
        <v>176</v>
      </c>
      <c r="D28" s="139">
        <v>1</v>
      </c>
      <c r="E28" s="139">
        <v>1</v>
      </c>
      <c r="F28" s="139">
        <v>0.78</v>
      </c>
      <c r="G28" s="139">
        <v>1</v>
      </c>
      <c r="H28" s="139">
        <v>1</v>
      </c>
    </row>
    <row r="29" spans="1:8" x14ac:dyDescent="0.25">
      <c r="B29" s="146"/>
      <c r="C29" s="35" t="s">
        <v>175</v>
      </c>
      <c r="D29" s="139">
        <v>1</v>
      </c>
      <c r="E29" s="139">
        <v>1</v>
      </c>
      <c r="F29" s="139">
        <v>0.78</v>
      </c>
      <c r="G29" s="139">
        <v>1</v>
      </c>
      <c r="H29" s="139">
        <v>1</v>
      </c>
    </row>
    <row r="30" spans="1:8" x14ac:dyDescent="0.25">
      <c r="B30" s="146"/>
      <c r="C30" s="35" t="s">
        <v>174</v>
      </c>
      <c r="D30" s="139">
        <v>1</v>
      </c>
      <c r="E30" s="139">
        <v>1</v>
      </c>
      <c r="F30" s="139">
        <v>0.99</v>
      </c>
      <c r="G30" s="139">
        <v>0.99</v>
      </c>
      <c r="H30" s="139">
        <v>1</v>
      </c>
    </row>
    <row r="31" spans="1:8" x14ac:dyDescent="0.25">
      <c r="B31" s="146" t="s">
        <v>4</v>
      </c>
      <c r="C31" s="35" t="s">
        <v>176</v>
      </c>
      <c r="D31" s="139">
        <v>1</v>
      </c>
      <c r="E31" s="139">
        <v>1</v>
      </c>
      <c r="F31" s="139">
        <v>1</v>
      </c>
      <c r="G31" s="139">
        <v>0.78</v>
      </c>
      <c r="H31" s="139">
        <v>1</v>
      </c>
    </row>
    <row r="32" spans="1:8" x14ac:dyDescent="0.25">
      <c r="B32" s="146"/>
      <c r="C32" s="35" t="s">
        <v>175</v>
      </c>
      <c r="D32" s="139">
        <v>1</v>
      </c>
      <c r="E32" s="139">
        <v>1</v>
      </c>
      <c r="F32" s="139">
        <v>1</v>
      </c>
      <c r="G32" s="139">
        <v>0.78</v>
      </c>
      <c r="H32" s="139">
        <v>1</v>
      </c>
    </row>
    <row r="33" spans="1:8" x14ac:dyDescent="0.25">
      <c r="B33" s="146"/>
      <c r="C33" s="35" t="s">
        <v>174</v>
      </c>
      <c r="D33" s="139">
        <v>1</v>
      </c>
      <c r="E33" s="139">
        <v>1</v>
      </c>
      <c r="F33" s="139">
        <v>1</v>
      </c>
      <c r="G33" s="139">
        <v>0.99</v>
      </c>
      <c r="H33" s="139">
        <v>1</v>
      </c>
    </row>
    <row r="34" spans="1:8" ht="13" x14ac:dyDescent="0.25">
      <c r="B34" s="101" t="s">
        <v>172</v>
      </c>
      <c r="C34" s="35" t="s">
        <v>174</v>
      </c>
      <c r="D34" s="139">
        <v>1</v>
      </c>
      <c r="E34" s="139">
        <v>1</v>
      </c>
      <c r="F34" s="139">
        <v>0.95</v>
      </c>
      <c r="G34" s="139">
        <v>0.95</v>
      </c>
      <c r="H34" s="139">
        <v>1</v>
      </c>
    </row>
    <row r="35" spans="1:8" x14ac:dyDescent="0.25">
      <c r="D35" s="137"/>
      <c r="E35" s="137"/>
      <c r="F35" s="137"/>
      <c r="G35" s="137"/>
      <c r="H35" s="137"/>
    </row>
    <row r="36" spans="1:8" ht="13" x14ac:dyDescent="0.3">
      <c r="A36" s="102" t="s">
        <v>222</v>
      </c>
      <c r="B36" s="146" t="s">
        <v>32</v>
      </c>
      <c r="C36" s="35" t="s">
        <v>176</v>
      </c>
      <c r="D36" s="139">
        <v>1</v>
      </c>
      <c r="E36" s="139">
        <v>1</v>
      </c>
      <c r="F36" s="139">
        <v>1</v>
      </c>
      <c r="G36" s="139">
        <v>1</v>
      </c>
      <c r="H36" s="139">
        <v>1</v>
      </c>
    </row>
    <row r="37" spans="1:8" x14ac:dyDescent="0.25">
      <c r="B37" s="146"/>
      <c r="C37" s="35" t="s">
        <v>175</v>
      </c>
      <c r="D37" s="139">
        <v>1</v>
      </c>
      <c r="E37" s="139">
        <v>1</v>
      </c>
      <c r="F37" s="139">
        <v>1</v>
      </c>
      <c r="G37" s="139">
        <v>1</v>
      </c>
      <c r="H37" s="139">
        <v>1</v>
      </c>
    </row>
    <row r="38" spans="1:8" x14ac:dyDescent="0.25">
      <c r="B38" s="146"/>
      <c r="C38" s="35" t="s">
        <v>174</v>
      </c>
      <c r="D38" s="139">
        <v>1</v>
      </c>
      <c r="E38" s="139">
        <v>1</v>
      </c>
      <c r="F38" s="139">
        <v>1</v>
      </c>
      <c r="G38" s="139">
        <v>1</v>
      </c>
      <c r="H38" s="139">
        <v>1</v>
      </c>
    </row>
    <row r="39" spans="1:8" x14ac:dyDescent="0.25">
      <c r="B39" s="146" t="s">
        <v>1</v>
      </c>
      <c r="C39" s="35" t="s">
        <v>176</v>
      </c>
      <c r="D39" s="139">
        <v>1</v>
      </c>
      <c r="E39" s="139">
        <v>1</v>
      </c>
      <c r="F39" s="139">
        <v>1</v>
      </c>
      <c r="G39" s="139">
        <v>1</v>
      </c>
      <c r="H39" s="139">
        <v>1</v>
      </c>
    </row>
    <row r="40" spans="1:8" x14ac:dyDescent="0.25">
      <c r="B40" s="146"/>
      <c r="C40" s="35" t="s">
        <v>175</v>
      </c>
      <c r="D40" s="139">
        <v>1</v>
      </c>
      <c r="E40" s="139">
        <v>1</v>
      </c>
      <c r="F40" s="139">
        <v>1</v>
      </c>
      <c r="G40" s="139">
        <v>1</v>
      </c>
      <c r="H40" s="139">
        <v>1</v>
      </c>
    </row>
    <row r="41" spans="1:8" x14ac:dyDescent="0.25">
      <c r="B41" s="146"/>
      <c r="C41" s="35" t="s">
        <v>174</v>
      </c>
      <c r="D41" s="139">
        <v>1</v>
      </c>
      <c r="E41" s="139">
        <v>1</v>
      </c>
      <c r="F41" s="139">
        <v>1</v>
      </c>
      <c r="G41" s="139">
        <v>1</v>
      </c>
      <c r="H41" s="139">
        <v>1</v>
      </c>
    </row>
    <row r="42" spans="1:8" x14ac:dyDescent="0.25">
      <c r="B42" s="146" t="s">
        <v>2</v>
      </c>
      <c r="C42" s="35" t="s">
        <v>176</v>
      </c>
      <c r="D42" s="139">
        <v>1</v>
      </c>
      <c r="E42" s="139">
        <v>1</v>
      </c>
      <c r="F42" s="139">
        <v>1</v>
      </c>
      <c r="G42" s="139">
        <v>1</v>
      </c>
      <c r="H42" s="139">
        <v>1</v>
      </c>
    </row>
    <row r="43" spans="1:8" x14ac:dyDescent="0.25">
      <c r="B43" s="146"/>
      <c r="C43" s="35" t="s">
        <v>175</v>
      </c>
      <c r="D43" s="139">
        <v>1</v>
      </c>
      <c r="E43" s="139">
        <v>1</v>
      </c>
      <c r="F43" s="139">
        <v>1</v>
      </c>
      <c r="G43" s="139">
        <v>1</v>
      </c>
      <c r="H43" s="139">
        <v>1</v>
      </c>
    </row>
    <row r="44" spans="1:8" x14ac:dyDescent="0.25">
      <c r="B44" s="146"/>
      <c r="C44" s="35" t="s">
        <v>174</v>
      </c>
      <c r="D44" s="139">
        <v>1</v>
      </c>
      <c r="E44" s="139">
        <v>1</v>
      </c>
      <c r="F44" s="139">
        <v>1</v>
      </c>
      <c r="G44" s="139">
        <v>1</v>
      </c>
      <c r="H44" s="139">
        <v>1</v>
      </c>
    </row>
    <row r="45" spans="1:8" x14ac:dyDescent="0.25">
      <c r="B45" s="146" t="s">
        <v>3</v>
      </c>
      <c r="C45" s="35" t="s">
        <v>176</v>
      </c>
      <c r="D45" s="139">
        <v>1</v>
      </c>
      <c r="E45" s="139">
        <v>1</v>
      </c>
      <c r="F45" s="139">
        <v>1.82</v>
      </c>
      <c r="G45" s="139">
        <v>1</v>
      </c>
      <c r="H45" s="139">
        <v>1</v>
      </c>
    </row>
    <row r="46" spans="1:8" x14ac:dyDescent="0.25">
      <c r="B46" s="146"/>
      <c r="C46" s="35" t="s">
        <v>175</v>
      </c>
      <c r="D46" s="139">
        <v>1</v>
      </c>
      <c r="E46" s="139">
        <v>1</v>
      </c>
      <c r="F46" s="139">
        <v>1.82</v>
      </c>
      <c r="G46" s="139">
        <v>1</v>
      </c>
      <c r="H46" s="139">
        <v>1</v>
      </c>
    </row>
    <row r="47" spans="1:8" x14ac:dyDescent="0.25">
      <c r="B47" s="146"/>
      <c r="C47" s="35" t="s">
        <v>174</v>
      </c>
      <c r="D47" s="139">
        <v>1</v>
      </c>
      <c r="E47" s="139">
        <v>1</v>
      </c>
      <c r="F47" s="139">
        <v>1</v>
      </c>
      <c r="G47" s="139">
        <v>1</v>
      </c>
      <c r="H47" s="139">
        <v>1</v>
      </c>
    </row>
    <row r="48" spans="1:8" x14ac:dyDescent="0.25">
      <c r="B48" s="146" t="s">
        <v>4</v>
      </c>
      <c r="C48" s="35" t="s">
        <v>176</v>
      </c>
      <c r="D48" s="139">
        <v>1</v>
      </c>
      <c r="E48" s="139">
        <v>1</v>
      </c>
      <c r="F48" s="139">
        <v>1</v>
      </c>
      <c r="G48" s="139">
        <v>1.82</v>
      </c>
      <c r="H48" s="139">
        <v>1</v>
      </c>
    </row>
    <row r="49" spans="2:8" x14ac:dyDescent="0.25">
      <c r="B49" s="146"/>
      <c r="C49" s="35" t="s">
        <v>175</v>
      </c>
      <c r="D49" s="139">
        <v>1</v>
      </c>
      <c r="E49" s="139">
        <v>1</v>
      </c>
      <c r="F49" s="139">
        <v>1</v>
      </c>
      <c r="G49" s="139">
        <v>1.82</v>
      </c>
      <c r="H49" s="139">
        <v>1</v>
      </c>
    </row>
    <row r="50" spans="2:8" x14ac:dyDescent="0.25">
      <c r="B50" s="146"/>
      <c r="C50" s="35" t="s">
        <v>174</v>
      </c>
      <c r="D50" s="139">
        <v>1</v>
      </c>
      <c r="E50" s="139">
        <v>1</v>
      </c>
      <c r="F50" s="139">
        <v>1</v>
      </c>
      <c r="G50" s="139">
        <v>1</v>
      </c>
      <c r="H50" s="139">
        <v>1</v>
      </c>
    </row>
    <row r="51" spans="2:8" ht="13" x14ac:dyDescent="0.25">
      <c r="B51" s="103" t="s">
        <v>172</v>
      </c>
      <c r="C51" s="35" t="s">
        <v>174</v>
      </c>
      <c r="D51" s="139">
        <v>1.05</v>
      </c>
      <c r="E51" s="139">
        <v>1.05</v>
      </c>
      <c r="F51" s="139">
        <v>1.05</v>
      </c>
      <c r="G51" s="139">
        <v>1.05</v>
      </c>
      <c r="H51" s="139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G28"/>
  <sheetViews>
    <sheetView topLeftCell="A7" zoomScale="85" zoomScaleNormal="85" workbookViewId="0">
      <selection activeCell="E15" sqref="E15"/>
    </sheetView>
  </sheetViews>
  <sheetFormatPr defaultColWidth="16.1796875" defaultRowHeight="15.75" customHeight="1" x14ac:dyDescent="0.25"/>
  <cols>
    <col min="1" max="1" width="23.81640625" style="35" customWidth="1"/>
    <col min="2" max="2" width="34.1796875" style="35" customWidth="1"/>
    <col min="3" max="3" width="11.26953125" style="35" bestFit="1" customWidth="1"/>
    <col min="4" max="4" width="11.81640625" style="35" customWidth="1"/>
    <col min="5" max="6" width="15" style="35" customWidth="1"/>
    <col min="7" max="16384" width="16.1796875" style="35"/>
  </cols>
  <sheetData>
    <row r="1" spans="1:7" s="105" customFormat="1" ht="18.75" customHeight="1" x14ac:dyDescent="0.3">
      <c r="A1" s="104" t="s">
        <v>223</v>
      </c>
    </row>
    <row r="2" spans="1:7" ht="15.75" customHeight="1" x14ac:dyDescent="0.3">
      <c r="B2" s="106"/>
      <c r="C2" s="107" t="s">
        <v>26</v>
      </c>
      <c r="D2" s="108" t="s">
        <v>12</v>
      </c>
      <c r="E2" s="108" t="s">
        <v>11</v>
      </c>
      <c r="F2" s="108" t="s">
        <v>9</v>
      </c>
    </row>
    <row r="3" spans="1:7" ht="15.75" customHeight="1" x14ac:dyDescent="0.3">
      <c r="A3" s="40" t="s">
        <v>224</v>
      </c>
      <c r="B3" s="109"/>
      <c r="C3" s="110"/>
      <c r="D3" s="111"/>
      <c r="E3" s="111"/>
      <c r="F3" s="111"/>
    </row>
    <row r="4" spans="1:7" ht="15.75" customHeight="1" x14ac:dyDescent="0.25">
      <c r="B4" s="112" t="s">
        <v>75</v>
      </c>
      <c r="C4" s="140">
        <v>1</v>
      </c>
      <c r="D4" s="141">
        <v>1</v>
      </c>
      <c r="E4" s="141">
        <v>1</v>
      </c>
      <c r="F4" s="141">
        <v>1</v>
      </c>
    </row>
    <row r="5" spans="1:7" ht="15.75" customHeight="1" x14ac:dyDescent="0.25">
      <c r="B5" s="112" t="s">
        <v>76</v>
      </c>
      <c r="C5" s="140">
        <v>1</v>
      </c>
      <c r="D5" s="141">
        <v>1.41</v>
      </c>
      <c r="E5" s="141">
        <v>1.49</v>
      </c>
      <c r="F5" s="141">
        <v>3.03</v>
      </c>
    </row>
    <row r="6" spans="1:7" ht="15.75" customHeight="1" x14ac:dyDescent="0.25">
      <c r="B6" s="112" t="s">
        <v>77</v>
      </c>
      <c r="C6" s="140">
        <v>1</v>
      </c>
      <c r="D6" s="141">
        <v>1.18</v>
      </c>
      <c r="E6" s="141">
        <v>1.1000000000000001</v>
      </c>
      <c r="F6" s="141">
        <v>1.77</v>
      </c>
    </row>
    <row r="7" spans="1:7" ht="15.75" customHeight="1" x14ac:dyDescent="0.25">
      <c r="B7" s="112" t="s">
        <v>78</v>
      </c>
      <c r="C7" s="140">
        <v>1</v>
      </c>
      <c r="D7" s="141">
        <v>1</v>
      </c>
      <c r="E7" s="141">
        <v>1</v>
      </c>
      <c r="F7" s="141">
        <v>1</v>
      </c>
    </row>
    <row r="8" spans="1:7" ht="15.75" customHeight="1" x14ac:dyDescent="0.25">
      <c r="C8" s="113"/>
      <c r="D8" s="100"/>
      <c r="E8" s="100"/>
      <c r="F8" s="100"/>
    </row>
    <row r="9" spans="1:7" ht="15.75" customHeight="1" x14ac:dyDescent="0.3">
      <c r="A9" s="40" t="s">
        <v>225</v>
      </c>
      <c r="C9" s="140">
        <v>1</v>
      </c>
      <c r="D9" s="141">
        <v>1.53</v>
      </c>
      <c r="E9" s="141">
        <v>1.32</v>
      </c>
      <c r="F9" s="141">
        <v>1.53</v>
      </c>
      <c r="G9" s="114"/>
    </row>
    <row r="10" spans="1:7" ht="15.75" customHeight="1" x14ac:dyDescent="0.25">
      <c r="C10" s="113"/>
      <c r="D10" s="100"/>
      <c r="E10" s="100"/>
      <c r="F10" s="100"/>
      <c r="G10" s="114"/>
    </row>
    <row r="11" spans="1:7" s="105" customFormat="1" ht="15" customHeight="1" x14ac:dyDescent="0.3">
      <c r="A11" s="104" t="s">
        <v>226</v>
      </c>
      <c r="C11" s="115"/>
      <c r="D11" s="116"/>
      <c r="E11" s="116"/>
      <c r="F11" s="116"/>
      <c r="G11" s="117"/>
    </row>
    <row r="12" spans="1:7" ht="15.75" customHeight="1" x14ac:dyDescent="0.3">
      <c r="A12" s="40" t="s">
        <v>227</v>
      </c>
      <c r="C12" s="113"/>
      <c r="D12" s="100"/>
      <c r="E12" s="100"/>
      <c r="F12" s="100"/>
      <c r="G12" s="114"/>
    </row>
    <row r="13" spans="1:7" ht="15.75" customHeight="1" x14ac:dyDescent="0.25">
      <c r="B13" s="118" t="s">
        <v>228</v>
      </c>
      <c r="C13" s="140">
        <v>1</v>
      </c>
      <c r="D13" s="141">
        <v>5</v>
      </c>
      <c r="E13" s="141">
        <v>6.4</v>
      </c>
      <c r="F13" s="141">
        <v>46.5</v>
      </c>
      <c r="G13" s="114"/>
    </row>
    <row r="14" spans="1:7" ht="15.75" customHeight="1" x14ac:dyDescent="0.25">
      <c r="B14" s="118" t="s">
        <v>229</v>
      </c>
      <c r="C14" s="140">
        <v>1</v>
      </c>
      <c r="D14" s="141">
        <v>2.52</v>
      </c>
      <c r="E14" s="141">
        <v>1.96</v>
      </c>
      <c r="F14" s="141">
        <v>4.1900000000000004</v>
      </c>
      <c r="G14" s="114"/>
    </row>
    <row r="15" spans="1:7" ht="15.75" customHeight="1" x14ac:dyDescent="0.25">
      <c r="B15" s="118" t="s">
        <v>230</v>
      </c>
      <c r="C15" s="140">
        <v>1</v>
      </c>
      <c r="D15" s="141">
        <v>2.52</v>
      </c>
      <c r="E15" s="141">
        <v>1.96</v>
      </c>
      <c r="F15" s="141">
        <v>4.1900000000000004</v>
      </c>
      <c r="G15" s="114"/>
    </row>
    <row r="16" spans="1:7" ht="15.75" customHeight="1" x14ac:dyDescent="0.3">
      <c r="A16" s="40"/>
      <c r="B16" s="118"/>
      <c r="C16" s="119"/>
      <c r="D16" s="100"/>
      <c r="E16" s="100"/>
      <c r="F16" s="100"/>
      <c r="G16" s="114"/>
    </row>
    <row r="17" spans="1:7" ht="15.75" customHeight="1" x14ac:dyDescent="0.3">
      <c r="A17" s="40" t="s">
        <v>231</v>
      </c>
      <c r="B17" s="109"/>
      <c r="C17" s="120"/>
      <c r="D17" s="121"/>
      <c r="E17" s="121"/>
      <c r="F17" s="121"/>
      <c r="G17" s="114"/>
    </row>
    <row r="18" spans="1:7" ht="15.75" customHeight="1" x14ac:dyDescent="0.25">
      <c r="B18" s="122" t="s">
        <v>73</v>
      </c>
      <c r="C18" s="140">
        <v>1</v>
      </c>
      <c r="D18" s="141">
        <v>1</v>
      </c>
      <c r="E18" s="141">
        <v>1</v>
      </c>
      <c r="F18" s="141">
        <v>1</v>
      </c>
      <c r="G18" s="114"/>
    </row>
    <row r="19" spans="1:7" ht="15.75" customHeight="1" x14ac:dyDescent="0.25">
      <c r="B19" s="122" t="s">
        <v>7</v>
      </c>
      <c r="C19" s="140">
        <v>1</v>
      </c>
      <c r="D19" s="141">
        <v>2.0699999999999998</v>
      </c>
      <c r="E19" s="141">
        <v>8.02</v>
      </c>
      <c r="F19" s="141">
        <v>11.54</v>
      </c>
      <c r="G19" s="114"/>
    </row>
    <row r="20" spans="1:7" ht="15.75" customHeight="1" x14ac:dyDescent="0.25">
      <c r="B20" s="122" t="s">
        <v>8</v>
      </c>
      <c r="C20" s="140">
        <v>1</v>
      </c>
      <c r="D20" s="141">
        <v>2.0699999999999998</v>
      </c>
      <c r="E20" s="141">
        <v>8.02</v>
      </c>
      <c r="F20" s="141">
        <v>11.54</v>
      </c>
      <c r="G20" s="114"/>
    </row>
    <row r="21" spans="1:7" ht="15.75" customHeight="1" x14ac:dyDescent="0.25">
      <c r="B21" s="122" t="s">
        <v>10</v>
      </c>
      <c r="C21" s="140">
        <v>1</v>
      </c>
      <c r="D21" s="141">
        <v>2.0699999999999998</v>
      </c>
      <c r="E21" s="141">
        <v>8.02</v>
      </c>
      <c r="F21" s="141">
        <v>11.54</v>
      </c>
      <c r="G21" s="114"/>
    </row>
    <row r="22" spans="1:7" ht="15.75" customHeight="1" x14ac:dyDescent="0.25">
      <c r="B22" s="122" t="s">
        <v>13</v>
      </c>
      <c r="C22" s="140">
        <v>1</v>
      </c>
      <c r="D22" s="141">
        <v>1</v>
      </c>
      <c r="E22" s="141">
        <v>999.99</v>
      </c>
      <c r="F22" s="141">
        <v>999.99</v>
      </c>
    </row>
    <row r="23" spans="1:7" ht="15.75" customHeight="1" x14ac:dyDescent="0.25">
      <c r="B23" s="122" t="s">
        <v>14</v>
      </c>
      <c r="C23" s="140">
        <v>1</v>
      </c>
      <c r="D23" s="141">
        <v>1</v>
      </c>
      <c r="E23" s="141">
        <v>1</v>
      </c>
      <c r="F23" s="141">
        <v>1</v>
      </c>
    </row>
    <row r="24" spans="1:7" ht="15.75" customHeight="1" x14ac:dyDescent="0.25">
      <c r="B24" s="122" t="s">
        <v>27</v>
      </c>
      <c r="C24" s="140">
        <v>1</v>
      </c>
      <c r="D24" s="141">
        <v>1</v>
      </c>
      <c r="E24" s="141">
        <v>1</v>
      </c>
      <c r="F24" s="141">
        <v>1</v>
      </c>
    </row>
    <row r="25" spans="1:7" ht="15.75" customHeight="1" x14ac:dyDescent="0.25">
      <c r="B25" s="122" t="s">
        <v>15</v>
      </c>
      <c r="C25" s="140">
        <v>1</v>
      </c>
      <c r="D25" s="141">
        <v>1</v>
      </c>
      <c r="E25" s="141">
        <v>1</v>
      </c>
      <c r="F25" s="141">
        <v>1</v>
      </c>
    </row>
    <row r="26" spans="1:7" ht="15.75" customHeight="1" x14ac:dyDescent="0.25">
      <c r="B26" s="118"/>
    </row>
    <row r="28" spans="1:7" ht="15.75" customHeight="1" x14ac:dyDescent="0.3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P111"/>
  <sheetViews>
    <sheetView topLeftCell="A75" zoomScaleNormal="100" workbookViewId="0">
      <selection activeCell="F8" sqref="F8"/>
    </sheetView>
  </sheetViews>
  <sheetFormatPr defaultColWidth="12.7265625" defaultRowHeight="12.5" x14ac:dyDescent="0.25"/>
  <cols>
    <col min="1" max="1" width="27.26953125" style="35" customWidth="1"/>
    <col min="2" max="2" width="26.81640625" style="35" customWidth="1"/>
    <col min="3" max="3" width="18.26953125" style="35" customWidth="1"/>
    <col min="4" max="8" width="14.7265625" style="35" customWidth="1"/>
    <col min="9" max="12" width="15.26953125" style="35" bestFit="1" customWidth="1"/>
    <col min="13" max="16" width="16.81640625" style="35" bestFit="1" customWidth="1"/>
    <col min="17" max="16384" width="12.7265625" style="35"/>
  </cols>
  <sheetData>
    <row r="1" spans="1:16" s="105" customFormat="1" ht="13" x14ac:dyDescent="0.3">
      <c r="A1" s="104" t="s">
        <v>232</v>
      </c>
    </row>
    <row r="2" spans="1:16" ht="13" x14ac:dyDescent="0.3">
      <c r="A2" s="123" t="s">
        <v>213</v>
      </c>
      <c r="B2" s="124" t="s">
        <v>233</v>
      </c>
      <c r="C2" s="124" t="s">
        <v>234</v>
      </c>
      <c r="D2" s="108" t="s">
        <v>1</v>
      </c>
      <c r="E2" s="108" t="s">
        <v>2</v>
      </c>
      <c r="F2" s="108" t="s">
        <v>3</v>
      </c>
      <c r="G2" s="108" t="s">
        <v>4</v>
      </c>
      <c r="H2" s="108" t="s">
        <v>5</v>
      </c>
      <c r="I2" s="125"/>
      <c r="J2" s="125"/>
      <c r="K2" s="125"/>
      <c r="L2" s="125"/>
      <c r="M2" s="125"/>
      <c r="N2" s="125"/>
      <c r="O2" s="125"/>
      <c r="P2" s="125"/>
    </row>
    <row r="3" spans="1:16" ht="13" x14ac:dyDescent="0.3">
      <c r="A3" s="40"/>
      <c r="B3" s="35" t="s">
        <v>71</v>
      </c>
      <c r="C3" s="43" t="s">
        <v>235</v>
      </c>
      <c r="D3" s="140">
        <v>1</v>
      </c>
      <c r="E3" s="140">
        <v>1</v>
      </c>
      <c r="F3" s="140">
        <v>1</v>
      </c>
      <c r="G3" s="140">
        <v>1</v>
      </c>
      <c r="H3" s="140">
        <v>1</v>
      </c>
      <c r="I3" s="123"/>
      <c r="J3" s="123"/>
      <c r="K3" s="123"/>
      <c r="L3" s="123"/>
      <c r="M3" s="123"/>
      <c r="N3" s="123"/>
      <c r="O3" s="123"/>
      <c r="P3" s="123"/>
    </row>
    <row r="4" spans="1:16" x14ac:dyDescent="0.25">
      <c r="C4" s="43" t="s">
        <v>236</v>
      </c>
      <c r="D4" s="141">
        <v>1</v>
      </c>
      <c r="E4" s="141">
        <v>1.67</v>
      </c>
      <c r="F4" s="141">
        <v>1.67</v>
      </c>
      <c r="G4" s="141">
        <v>1.67</v>
      </c>
      <c r="H4" s="141">
        <v>1.67</v>
      </c>
      <c r="I4" s="123"/>
      <c r="J4" s="123"/>
      <c r="K4" s="123"/>
      <c r="L4" s="123"/>
      <c r="M4" s="123"/>
      <c r="N4" s="123"/>
      <c r="O4" s="123"/>
      <c r="P4" s="123"/>
    </row>
    <row r="5" spans="1:16" x14ac:dyDescent="0.25">
      <c r="C5" s="43" t="s">
        <v>237</v>
      </c>
      <c r="D5" s="141">
        <v>1</v>
      </c>
      <c r="E5" s="141">
        <v>2.38</v>
      </c>
      <c r="F5" s="141">
        <v>2.38</v>
      </c>
      <c r="G5" s="141">
        <v>2.38</v>
      </c>
      <c r="H5" s="141">
        <v>2.38</v>
      </c>
      <c r="I5" s="123"/>
      <c r="J5" s="123"/>
      <c r="K5" s="123"/>
      <c r="L5" s="123"/>
      <c r="M5" s="123"/>
      <c r="N5" s="123"/>
      <c r="O5" s="123"/>
      <c r="P5" s="123"/>
    </row>
    <row r="6" spans="1:16" x14ac:dyDescent="0.25">
      <c r="C6" s="43" t="s">
        <v>238</v>
      </c>
      <c r="D6" s="141">
        <v>1</v>
      </c>
      <c r="E6" s="141">
        <v>6.33</v>
      </c>
      <c r="F6" s="141">
        <v>6.33</v>
      </c>
      <c r="G6" s="141">
        <v>6.33</v>
      </c>
      <c r="H6" s="141">
        <v>6.33</v>
      </c>
      <c r="I6" s="123"/>
      <c r="J6" s="123"/>
      <c r="K6" s="123"/>
      <c r="L6" s="123"/>
      <c r="M6" s="123"/>
      <c r="N6" s="123"/>
      <c r="O6" s="123"/>
      <c r="P6" s="123"/>
    </row>
    <row r="7" spans="1:16" x14ac:dyDescent="0.25">
      <c r="B7" s="35" t="s">
        <v>16</v>
      </c>
      <c r="C7" s="43" t="s">
        <v>235</v>
      </c>
      <c r="D7" s="140">
        <v>1</v>
      </c>
      <c r="E7" s="140">
        <v>1</v>
      </c>
      <c r="F7" s="140">
        <v>1</v>
      </c>
      <c r="G7" s="140">
        <v>1</v>
      </c>
      <c r="H7" s="140">
        <v>1</v>
      </c>
      <c r="I7" s="123"/>
      <c r="J7" s="123"/>
      <c r="K7" s="123"/>
      <c r="L7" s="123"/>
      <c r="M7" s="123"/>
      <c r="N7" s="123"/>
      <c r="O7" s="123"/>
      <c r="P7" s="123"/>
    </row>
    <row r="8" spans="1:16" x14ac:dyDescent="0.25">
      <c r="C8" s="43" t="s">
        <v>236</v>
      </c>
      <c r="D8" s="141">
        <v>1</v>
      </c>
      <c r="E8" s="141">
        <v>1.55</v>
      </c>
      <c r="F8" s="141">
        <v>1.55</v>
      </c>
      <c r="G8" s="141">
        <v>1.55</v>
      </c>
      <c r="H8" s="141">
        <v>1.55</v>
      </c>
      <c r="I8" s="123"/>
      <c r="J8" s="123"/>
      <c r="K8" s="123"/>
      <c r="L8" s="123"/>
      <c r="M8" s="123"/>
      <c r="N8" s="123"/>
      <c r="O8" s="123"/>
      <c r="P8" s="123"/>
    </row>
    <row r="9" spans="1:16" x14ac:dyDescent="0.25">
      <c r="C9" s="43" t="s">
        <v>237</v>
      </c>
      <c r="D9" s="141">
        <v>1</v>
      </c>
      <c r="E9" s="141">
        <v>2.1800000000000002</v>
      </c>
      <c r="F9" s="141">
        <v>2.1800000000000002</v>
      </c>
      <c r="G9" s="141">
        <v>2.1800000000000002</v>
      </c>
      <c r="H9" s="141">
        <v>2.1800000000000002</v>
      </c>
      <c r="I9" s="123"/>
      <c r="J9" s="123"/>
      <c r="K9" s="123"/>
      <c r="L9" s="123"/>
      <c r="M9" s="123"/>
      <c r="N9" s="123"/>
      <c r="O9" s="123"/>
      <c r="P9" s="123"/>
    </row>
    <row r="10" spans="1:16" x14ac:dyDescent="0.25">
      <c r="C10" s="43" t="s">
        <v>238</v>
      </c>
      <c r="D10" s="141">
        <v>1</v>
      </c>
      <c r="E10" s="141">
        <v>6.39</v>
      </c>
      <c r="F10" s="141">
        <v>6.39</v>
      </c>
      <c r="G10" s="141">
        <v>6.39</v>
      </c>
      <c r="H10" s="141">
        <v>6.39</v>
      </c>
      <c r="I10" s="123"/>
      <c r="J10" s="123"/>
      <c r="K10" s="123"/>
      <c r="L10" s="123"/>
      <c r="M10" s="123"/>
      <c r="N10" s="123"/>
      <c r="O10" s="123"/>
      <c r="P10" s="123"/>
    </row>
    <row r="11" spans="1:16" x14ac:dyDescent="0.25">
      <c r="B11" s="35" t="s">
        <v>18</v>
      </c>
      <c r="C11" s="43" t="s">
        <v>235</v>
      </c>
      <c r="D11" s="140">
        <v>1</v>
      </c>
      <c r="E11" s="140">
        <v>1</v>
      </c>
      <c r="F11" s="140">
        <v>1</v>
      </c>
      <c r="G11" s="140">
        <v>1</v>
      </c>
      <c r="H11" s="140">
        <v>1</v>
      </c>
      <c r="I11" s="123"/>
      <c r="J11" s="123"/>
      <c r="K11" s="123"/>
      <c r="L11" s="123"/>
      <c r="M11" s="123"/>
      <c r="N11" s="123"/>
      <c r="O11" s="123"/>
      <c r="P11" s="123"/>
    </row>
    <row r="12" spans="1:16" x14ac:dyDescent="0.25">
      <c r="C12" s="43" t="s">
        <v>236</v>
      </c>
      <c r="D12" s="141">
        <v>1</v>
      </c>
      <c r="E12" s="141">
        <v>1</v>
      </c>
      <c r="F12" s="141">
        <v>1</v>
      </c>
      <c r="G12" s="141">
        <v>1</v>
      </c>
      <c r="H12" s="141">
        <v>1</v>
      </c>
      <c r="I12" s="123"/>
      <c r="J12" s="123"/>
      <c r="K12" s="123"/>
      <c r="L12" s="123"/>
      <c r="M12" s="123"/>
      <c r="N12" s="123"/>
      <c r="O12" s="123"/>
      <c r="P12" s="123"/>
    </row>
    <row r="13" spans="1:16" x14ac:dyDescent="0.25">
      <c r="C13" s="43" t="s">
        <v>237</v>
      </c>
      <c r="D13" s="141">
        <v>1</v>
      </c>
      <c r="E13" s="141">
        <v>2.79</v>
      </c>
      <c r="F13" s="141">
        <v>2.79</v>
      </c>
      <c r="G13" s="141">
        <v>2.79</v>
      </c>
      <c r="H13" s="141">
        <v>2.79</v>
      </c>
      <c r="I13" s="123"/>
      <c r="J13" s="123"/>
      <c r="K13" s="123"/>
      <c r="L13" s="123"/>
      <c r="M13" s="123"/>
      <c r="N13" s="123"/>
      <c r="O13" s="123"/>
      <c r="P13" s="123"/>
    </row>
    <row r="14" spans="1:16" x14ac:dyDescent="0.25">
      <c r="C14" s="43" t="s">
        <v>238</v>
      </c>
      <c r="D14" s="141">
        <v>1</v>
      </c>
      <c r="E14" s="141">
        <v>6.01</v>
      </c>
      <c r="F14" s="141">
        <v>6.01</v>
      </c>
      <c r="G14" s="141">
        <v>6.01</v>
      </c>
      <c r="H14" s="141">
        <v>6.01</v>
      </c>
      <c r="I14" s="123"/>
      <c r="J14" s="123"/>
      <c r="K14" s="123"/>
      <c r="L14" s="123"/>
      <c r="M14" s="123"/>
      <c r="N14" s="123"/>
      <c r="O14" s="123"/>
      <c r="P14" s="123"/>
    </row>
    <row r="15" spans="1:16" x14ac:dyDescent="0.25">
      <c r="B15" s="35" t="s">
        <v>19</v>
      </c>
      <c r="C15" s="43" t="s">
        <v>235</v>
      </c>
      <c r="D15" s="140">
        <v>1</v>
      </c>
      <c r="E15" s="140">
        <v>1</v>
      </c>
      <c r="F15" s="140">
        <v>1</v>
      </c>
      <c r="G15" s="140">
        <v>1</v>
      </c>
      <c r="H15" s="140">
        <v>1</v>
      </c>
      <c r="I15" s="123"/>
      <c r="J15" s="123"/>
      <c r="K15" s="123"/>
      <c r="L15" s="123"/>
      <c r="M15" s="123"/>
      <c r="N15" s="123"/>
      <c r="O15" s="123"/>
      <c r="P15" s="123"/>
    </row>
    <row r="16" spans="1:16" x14ac:dyDescent="0.25">
      <c r="C16" s="43" t="s">
        <v>236</v>
      </c>
      <c r="D16" s="141">
        <v>1</v>
      </c>
      <c r="E16" s="141">
        <v>1</v>
      </c>
      <c r="F16" s="141">
        <v>1</v>
      </c>
      <c r="G16" s="141">
        <v>1</v>
      </c>
      <c r="H16" s="141">
        <v>1</v>
      </c>
      <c r="I16" s="123"/>
      <c r="J16" s="123"/>
      <c r="K16" s="123"/>
      <c r="L16" s="123"/>
      <c r="M16" s="123"/>
      <c r="N16" s="123"/>
      <c r="O16" s="123"/>
      <c r="P16" s="123"/>
    </row>
    <row r="17" spans="1:16" x14ac:dyDescent="0.25">
      <c r="C17" s="43" t="s">
        <v>237</v>
      </c>
      <c r="D17" s="141">
        <v>1</v>
      </c>
      <c r="E17" s="141">
        <v>1</v>
      </c>
      <c r="F17" s="141">
        <v>1</v>
      </c>
      <c r="G17" s="141">
        <v>1</v>
      </c>
      <c r="H17" s="141">
        <v>1</v>
      </c>
      <c r="I17" s="123"/>
      <c r="J17" s="123"/>
      <c r="K17" s="123"/>
      <c r="L17" s="123"/>
      <c r="M17" s="123"/>
      <c r="N17" s="123"/>
      <c r="O17" s="123"/>
      <c r="P17" s="123"/>
    </row>
    <row r="18" spans="1:16" ht="13.9" customHeight="1" x14ac:dyDescent="0.25">
      <c r="C18" s="43" t="s">
        <v>238</v>
      </c>
      <c r="D18" s="141">
        <v>1</v>
      </c>
      <c r="E18" s="141">
        <v>1</v>
      </c>
      <c r="F18" s="141">
        <v>1</v>
      </c>
      <c r="G18" s="141">
        <v>1</v>
      </c>
      <c r="H18" s="141">
        <v>1</v>
      </c>
      <c r="I18" s="123"/>
      <c r="J18" s="123"/>
      <c r="K18" s="123"/>
      <c r="L18" s="123"/>
      <c r="M18" s="123"/>
      <c r="N18" s="123"/>
      <c r="O18" s="123"/>
      <c r="P18" s="123"/>
    </row>
    <row r="19" spans="1:16" x14ac:dyDescent="0.25">
      <c r="B19" s="36" t="s">
        <v>17</v>
      </c>
      <c r="C19" s="43" t="s">
        <v>235</v>
      </c>
      <c r="D19" s="140">
        <v>1</v>
      </c>
      <c r="E19" s="140">
        <v>1</v>
      </c>
      <c r="F19" s="140">
        <v>1</v>
      </c>
      <c r="G19" s="140">
        <v>1</v>
      </c>
      <c r="H19" s="140">
        <v>1</v>
      </c>
      <c r="I19" s="123"/>
      <c r="J19" s="123"/>
      <c r="K19" s="123"/>
      <c r="L19" s="123"/>
      <c r="M19" s="123"/>
      <c r="N19" s="123"/>
      <c r="O19" s="123"/>
      <c r="P19" s="123"/>
    </row>
    <row r="20" spans="1:16" x14ac:dyDescent="0.25">
      <c r="C20" s="43" t="s">
        <v>236</v>
      </c>
      <c r="D20" s="141">
        <v>1</v>
      </c>
      <c r="E20" s="141">
        <v>1</v>
      </c>
      <c r="F20" s="141">
        <v>1</v>
      </c>
      <c r="G20" s="141">
        <v>1</v>
      </c>
      <c r="H20" s="141">
        <v>1</v>
      </c>
      <c r="I20" s="123"/>
      <c r="J20" s="123"/>
      <c r="K20" s="123"/>
      <c r="L20" s="123"/>
      <c r="M20" s="123"/>
      <c r="N20" s="123"/>
      <c r="O20" s="123"/>
      <c r="P20" s="123"/>
    </row>
    <row r="21" spans="1:16" x14ac:dyDescent="0.25">
      <c r="C21" s="43" t="s">
        <v>237</v>
      </c>
      <c r="D21" s="141">
        <v>1</v>
      </c>
      <c r="E21" s="141">
        <v>1.86</v>
      </c>
      <c r="F21" s="141">
        <v>1.86</v>
      </c>
      <c r="G21" s="141">
        <v>1.86</v>
      </c>
      <c r="H21" s="141">
        <v>1.86</v>
      </c>
      <c r="I21" s="123"/>
      <c r="J21" s="123"/>
      <c r="K21" s="123"/>
      <c r="L21" s="123"/>
      <c r="M21" s="123"/>
      <c r="N21" s="123"/>
      <c r="O21" s="123"/>
      <c r="P21" s="123"/>
    </row>
    <row r="22" spans="1:16" x14ac:dyDescent="0.25">
      <c r="C22" s="43" t="s">
        <v>238</v>
      </c>
      <c r="D22" s="141">
        <v>1</v>
      </c>
      <c r="E22" s="141">
        <v>3.01</v>
      </c>
      <c r="F22" s="141">
        <v>3.01</v>
      </c>
      <c r="G22" s="141">
        <v>3.01</v>
      </c>
      <c r="H22" s="141">
        <v>3.01</v>
      </c>
      <c r="I22" s="123"/>
      <c r="J22" s="123"/>
      <c r="K22" s="123"/>
      <c r="L22" s="123"/>
      <c r="M22" s="123"/>
      <c r="N22" s="123"/>
      <c r="O22" s="123"/>
      <c r="P22" s="123"/>
    </row>
    <row r="23" spans="1:16" x14ac:dyDescent="0.25">
      <c r="B23" s="36" t="s">
        <v>23</v>
      </c>
      <c r="C23" s="43" t="s">
        <v>235</v>
      </c>
      <c r="D23" s="140">
        <v>1</v>
      </c>
      <c r="E23" s="140">
        <v>1</v>
      </c>
      <c r="F23" s="140">
        <v>1</v>
      </c>
      <c r="G23" s="140">
        <v>1</v>
      </c>
      <c r="H23" s="140">
        <v>1</v>
      </c>
      <c r="I23" s="123"/>
      <c r="J23" s="123"/>
      <c r="K23" s="123"/>
      <c r="L23" s="123"/>
      <c r="M23" s="123"/>
      <c r="N23" s="123"/>
      <c r="O23" s="123"/>
      <c r="P23" s="123"/>
    </row>
    <row r="24" spans="1:16" x14ac:dyDescent="0.25">
      <c r="C24" s="43" t="s">
        <v>236</v>
      </c>
      <c r="D24" s="141">
        <v>1</v>
      </c>
      <c r="E24" s="141">
        <v>1</v>
      </c>
      <c r="F24" s="141">
        <v>1</v>
      </c>
      <c r="G24" s="141">
        <v>1</v>
      </c>
      <c r="H24" s="141">
        <v>1</v>
      </c>
      <c r="I24" s="123"/>
      <c r="J24" s="123"/>
      <c r="K24" s="123"/>
      <c r="L24" s="123"/>
      <c r="M24" s="123"/>
      <c r="N24" s="123"/>
      <c r="O24" s="123"/>
      <c r="P24" s="123"/>
    </row>
    <row r="25" spans="1:16" x14ac:dyDescent="0.25">
      <c r="C25" s="43" t="s">
        <v>237</v>
      </c>
      <c r="D25" s="141">
        <v>1</v>
      </c>
      <c r="E25" s="141">
        <v>1.86</v>
      </c>
      <c r="F25" s="141">
        <v>1.86</v>
      </c>
      <c r="G25" s="141">
        <v>1.86</v>
      </c>
      <c r="H25" s="141">
        <v>1.86</v>
      </c>
      <c r="I25" s="123"/>
      <c r="J25" s="123"/>
      <c r="K25" s="123"/>
      <c r="L25" s="123"/>
      <c r="M25" s="123"/>
      <c r="N25" s="123"/>
      <c r="O25" s="123"/>
      <c r="P25" s="123"/>
    </row>
    <row r="26" spans="1:16" x14ac:dyDescent="0.25">
      <c r="C26" s="43" t="s">
        <v>238</v>
      </c>
      <c r="D26" s="141">
        <v>1</v>
      </c>
      <c r="E26" s="141">
        <v>3.01</v>
      </c>
      <c r="F26" s="141">
        <v>3.01</v>
      </c>
      <c r="G26" s="141">
        <v>3.01</v>
      </c>
      <c r="H26" s="141">
        <v>3.01</v>
      </c>
      <c r="I26" s="123"/>
      <c r="J26" s="123"/>
      <c r="K26" s="123"/>
      <c r="L26" s="123"/>
      <c r="M26" s="123"/>
      <c r="N26" s="123"/>
      <c r="O26" s="123"/>
      <c r="P26" s="123"/>
    </row>
    <row r="28" spans="1:16" s="105" customFormat="1" ht="13" x14ac:dyDescent="0.3">
      <c r="A28" s="104" t="s">
        <v>239</v>
      </c>
    </row>
    <row r="29" spans="1:16" s="36" customFormat="1" ht="13" x14ac:dyDescent="0.3">
      <c r="A29" s="126" t="s">
        <v>240</v>
      </c>
      <c r="B29" s="99" t="s">
        <v>233</v>
      </c>
      <c r="C29" s="99" t="s">
        <v>241</v>
      </c>
      <c r="D29" s="108" t="s">
        <v>1</v>
      </c>
      <c r="E29" s="108" t="s">
        <v>2</v>
      </c>
      <c r="F29" s="108" t="s">
        <v>3</v>
      </c>
      <c r="G29" s="108" t="s">
        <v>4</v>
      </c>
      <c r="H29" s="108" t="s">
        <v>5</v>
      </c>
      <c r="I29" s="125"/>
      <c r="J29" s="125"/>
      <c r="K29" s="125"/>
      <c r="L29" s="125"/>
      <c r="M29" s="125"/>
      <c r="N29" s="125"/>
      <c r="O29" s="125"/>
      <c r="P29" s="125"/>
    </row>
    <row r="30" spans="1:16" ht="13" x14ac:dyDescent="0.3">
      <c r="A30" s="40"/>
      <c r="B30" s="35" t="s">
        <v>71</v>
      </c>
      <c r="C30" s="43" t="s">
        <v>235</v>
      </c>
      <c r="D30" s="140">
        <v>1</v>
      </c>
      <c r="E30" s="140">
        <v>1</v>
      </c>
      <c r="F30" s="140">
        <v>1</v>
      </c>
      <c r="G30" s="140">
        <v>1</v>
      </c>
      <c r="H30" s="140">
        <v>1</v>
      </c>
      <c r="I30" s="127"/>
      <c r="J30" s="123"/>
      <c r="K30" s="123"/>
      <c r="L30" s="123"/>
      <c r="M30" s="123"/>
      <c r="N30" s="123"/>
      <c r="O30" s="123"/>
      <c r="P30" s="123"/>
    </row>
    <row r="31" spans="1:16" x14ac:dyDescent="0.25">
      <c r="C31" s="43" t="s">
        <v>236</v>
      </c>
      <c r="D31" s="141">
        <v>1</v>
      </c>
      <c r="E31" s="141">
        <v>1.6</v>
      </c>
      <c r="F31" s="141">
        <v>1.6</v>
      </c>
      <c r="G31" s="141">
        <v>1.6</v>
      </c>
      <c r="H31" s="141">
        <v>1.6</v>
      </c>
      <c r="I31" s="123"/>
      <c r="J31" s="123"/>
      <c r="K31" s="123"/>
      <c r="L31" s="123"/>
      <c r="M31" s="123"/>
      <c r="N31" s="123"/>
      <c r="O31" s="123"/>
      <c r="P31" s="123"/>
    </row>
    <row r="32" spans="1:16" x14ac:dyDescent="0.25">
      <c r="C32" s="43" t="s">
        <v>65</v>
      </c>
      <c r="D32" s="141">
        <v>1</v>
      </c>
      <c r="E32" s="141">
        <v>3.41</v>
      </c>
      <c r="F32" s="141">
        <v>3.41</v>
      </c>
      <c r="G32" s="141">
        <v>3.41</v>
      </c>
      <c r="H32" s="141">
        <v>3.41</v>
      </c>
      <c r="I32" s="123"/>
      <c r="J32" s="123"/>
      <c r="K32" s="123"/>
      <c r="L32" s="123"/>
      <c r="M32" s="123"/>
      <c r="N32" s="123"/>
      <c r="O32" s="123"/>
      <c r="P32" s="123"/>
    </row>
    <row r="33" spans="2:16" x14ac:dyDescent="0.25">
      <c r="C33" s="43" t="s">
        <v>66</v>
      </c>
      <c r="D33" s="141">
        <v>1</v>
      </c>
      <c r="E33" s="141">
        <v>12.33</v>
      </c>
      <c r="F33" s="141">
        <v>12.33</v>
      </c>
      <c r="G33" s="141">
        <v>12.33</v>
      </c>
      <c r="H33" s="141">
        <v>12.33</v>
      </c>
      <c r="I33" s="123"/>
      <c r="J33" s="123"/>
      <c r="K33" s="123"/>
      <c r="L33" s="123"/>
      <c r="M33" s="123"/>
      <c r="N33" s="123"/>
      <c r="O33" s="123"/>
      <c r="P33" s="123"/>
    </row>
    <row r="34" spans="2:16" x14ac:dyDescent="0.25">
      <c r="B34" s="35" t="s">
        <v>16</v>
      </c>
      <c r="C34" s="43" t="s">
        <v>235</v>
      </c>
      <c r="D34" s="140">
        <v>1</v>
      </c>
      <c r="E34" s="140">
        <v>1</v>
      </c>
      <c r="F34" s="140">
        <v>1</v>
      </c>
      <c r="G34" s="140">
        <v>1</v>
      </c>
      <c r="H34" s="140">
        <v>1</v>
      </c>
      <c r="I34" s="123"/>
      <c r="J34" s="123"/>
      <c r="K34" s="123"/>
      <c r="L34" s="123"/>
      <c r="M34" s="123"/>
      <c r="N34" s="123"/>
      <c r="O34" s="123"/>
      <c r="P34" s="123"/>
    </row>
    <row r="35" spans="2:16" x14ac:dyDescent="0.25">
      <c r="C35" s="43" t="s">
        <v>236</v>
      </c>
      <c r="D35" s="141">
        <v>1</v>
      </c>
      <c r="E35" s="141">
        <v>1.92</v>
      </c>
      <c r="F35" s="141">
        <v>1.92</v>
      </c>
      <c r="G35" s="141">
        <v>1.92</v>
      </c>
      <c r="H35" s="141">
        <v>1.92</v>
      </c>
      <c r="I35" s="123"/>
      <c r="J35" s="123"/>
      <c r="K35" s="123"/>
      <c r="L35" s="123"/>
      <c r="M35" s="123"/>
      <c r="N35" s="123"/>
      <c r="O35" s="123"/>
      <c r="P35" s="123"/>
    </row>
    <row r="36" spans="2:16" x14ac:dyDescent="0.25">
      <c r="C36" s="43" t="s">
        <v>65</v>
      </c>
      <c r="D36" s="141">
        <v>1</v>
      </c>
      <c r="E36" s="141">
        <v>4.66</v>
      </c>
      <c r="F36" s="141">
        <v>4.66</v>
      </c>
      <c r="G36" s="141">
        <v>4.66</v>
      </c>
      <c r="H36" s="141">
        <v>4.66</v>
      </c>
      <c r="I36" s="123"/>
      <c r="J36" s="123"/>
      <c r="K36" s="123"/>
      <c r="L36" s="123"/>
      <c r="M36" s="123"/>
      <c r="N36" s="123"/>
      <c r="O36" s="123"/>
      <c r="P36" s="123"/>
    </row>
    <row r="37" spans="2:16" x14ac:dyDescent="0.25">
      <c r="C37" s="43" t="s">
        <v>66</v>
      </c>
      <c r="D37" s="141">
        <v>1</v>
      </c>
      <c r="E37" s="141">
        <v>9.68</v>
      </c>
      <c r="F37" s="141">
        <v>9.68</v>
      </c>
      <c r="G37" s="141">
        <v>9.68</v>
      </c>
      <c r="H37" s="141">
        <v>9.68</v>
      </c>
      <c r="I37" s="123"/>
      <c r="J37" s="123"/>
      <c r="K37" s="123"/>
      <c r="L37" s="123"/>
      <c r="M37" s="123"/>
      <c r="N37" s="123"/>
      <c r="O37" s="123"/>
      <c r="P37" s="123"/>
    </row>
    <row r="38" spans="2:16" x14ac:dyDescent="0.25">
      <c r="B38" s="35" t="s">
        <v>18</v>
      </c>
      <c r="C38" s="43" t="s">
        <v>235</v>
      </c>
      <c r="D38" s="140">
        <v>1</v>
      </c>
      <c r="E38" s="140">
        <v>1</v>
      </c>
      <c r="F38" s="140">
        <v>1</v>
      </c>
      <c r="G38" s="140">
        <v>1</v>
      </c>
      <c r="H38" s="140">
        <v>1</v>
      </c>
      <c r="I38" s="123"/>
      <c r="J38" s="123"/>
      <c r="K38" s="123"/>
      <c r="L38" s="123"/>
      <c r="M38" s="123"/>
      <c r="N38" s="123"/>
      <c r="O38" s="123"/>
      <c r="P38" s="123"/>
    </row>
    <row r="39" spans="2:16" x14ac:dyDescent="0.25">
      <c r="C39" s="43" t="s">
        <v>236</v>
      </c>
      <c r="D39" s="141">
        <v>1</v>
      </c>
      <c r="E39" s="141">
        <v>1</v>
      </c>
      <c r="F39" s="141">
        <v>1</v>
      </c>
      <c r="G39" s="141">
        <v>1</v>
      </c>
      <c r="H39" s="141">
        <v>1</v>
      </c>
      <c r="I39" s="123"/>
      <c r="J39" s="123"/>
      <c r="K39" s="123"/>
      <c r="L39" s="123"/>
      <c r="M39" s="123"/>
      <c r="N39" s="123"/>
      <c r="O39" s="123"/>
      <c r="P39" s="123"/>
    </row>
    <row r="40" spans="2:16" x14ac:dyDescent="0.25">
      <c r="C40" s="43" t="s">
        <v>65</v>
      </c>
      <c r="D40" s="141">
        <v>1</v>
      </c>
      <c r="E40" s="141">
        <v>2.58</v>
      </c>
      <c r="F40" s="141">
        <v>2.58</v>
      </c>
      <c r="G40" s="141">
        <v>2.58</v>
      </c>
      <c r="H40" s="141">
        <v>2.58</v>
      </c>
      <c r="I40" s="123"/>
      <c r="J40" s="123"/>
      <c r="K40" s="123"/>
      <c r="L40" s="123"/>
      <c r="M40" s="123"/>
      <c r="N40" s="123"/>
      <c r="O40" s="123"/>
      <c r="P40" s="123"/>
    </row>
    <row r="41" spans="2:16" x14ac:dyDescent="0.25">
      <c r="C41" s="43" t="s">
        <v>66</v>
      </c>
      <c r="D41" s="141">
        <v>1</v>
      </c>
      <c r="E41" s="141">
        <v>9.6300000000000008</v>
      </c>
      <c r="F41" s="141">
        <v>9.6300000000000008</v>
      </c>
      <c r="G41" s="141">
        <v>9.6300000000000008</v>
      </c>
      <c r="H41" s="141">
        <v>9.6300000000000008</v>
      </c>
      <c r="I41" s="123"/>
      <c r="J41" s="123"/>
      <c r="K41" s="123"/>
      <c r="L41" s="123"/>
      <c r="M41" s="123"/>
      <c r="N41" s="123"/>
      <c r="O41" s="123"/>
      <c r="P41" s="123"/>
    </row>
    <row r="42" spans="2:16" x14ac:dyDescent="0.25">
      <c r="B42" s="35" t="s">
        <v>19</v>
      </c>
      <c r="C42" s="43" t="s">
        <v>235</v>
      </c>
      <c r="D42" s="140">
        <v>1</v>
      </c>
      <c r="E42" s="140">
        <v>1</v>
      </c>
      <c r="F42" s="140">
        <v>1</v>
      </c>
      <c r="G42" s="140">
        <v>1</v>
      </c>
      <c r="H42" s="140">
        <v>1</v>
      </c>
      <c r="I42" s="123"/>
      <c r="J42" s="123"/>
      <c r="K42" s="123"/>
      <c r="L42" s="123"/>
      <c r="M42" s="123"/>
      <c r="N42" s="123"/>
      <c r="O42" s="123"/>
      <c r="P42" s="123"/>
    </row>
    <row r="43" spans="2:16" x14ac:dyDescent="0.25">
      <c r="C43" s="43" t="s">
        <v>236</v>
      </c>
      <c r="D43" s="141">
        <v>1</v>
      </c>
      <c r="E43" s="141">
        <v>1</v>
      </c>
      <c r="F43" s="141">
        <v>1</v>
      </c>
      <c r="G43" s="141">
        <v>1</v>
      </c>
      <c r="H43" s="141">
        <v>1</v>
      </c>
      <c r="I43" s="123"/>
      <c r="J43" s="123"/>
      <c r="K43" s="123"/>
      <c r="L43" s="123"/>
      <c r="M43" s="123"/>
      <c r="N43" s="123"/>
      <c r="O43" s="123"/>
      <c r="P43" s="123"/>
    </row>
    <row r="44" spans="2:16" x14ac:dyDescent="0.25">
      <c r="C44" s="43" t="s">
        <v>65</v>
      </c>
      <c r="D44" s="141">
        <v>1</v>
      </c>
      <c r="E44" s="141">
        <v>1</v>
      </c>
      <c r="F44" s="141">
        <v>1</v>
      </c>
      <c r="G44" s="141">
        <v>1</v>
      </c>
      <c r="H44" s="141">
        <v>1</v>
      </c>
      <c r="I44" s="123"/>
      <c r="J44" s="123"/>
      <c r="K44" s="123"/>
      <c r="L44" s="123"/>
      <c r="M44" s="123"/>
      <c r="N44" s="123"/>
      <c r="O44" s="123"/>
      <c r="P44" s="123"/>
    </row>
    <row r="45" spans="2:16" x14ac:dyDescent="0.25">
      <c r="C45" s="43" t="s">
        <v>66</v>
      </c>
      <c r="D45" s="141">
        <v>1</v>
      </c>
      <c r="E45" s="141">
        <v>1</v>
      </c>
      <c r="F45" s="141">
        <v>1</v>
      </c>
      <c r="G45" s="141">
        <v>1</v>
      </c>
      <c r="H45" s="141">
        <v>1</v>
      </c>
      <c r="I45" s="123"/>
      <c r="J45" s="123"/>
      <c r="K45" s="123"/>
      <c r="L45" s="123"/>
      <c r="M45" s="123"/>
      <c r="N45" s="123"/>
      <c r="O45" s="123"/>
      <c r="P45" s="123"/>
    </row>
    <row r="46" spans="2:16" x14ac:dyDescent="0.25">
      <c r="B46" s="35" t="s">
        <v>17</v>
      </c>
      <c r="C46" s="43" t="s">
        <v>235</v>
      </c>
      <c r="D46" s="140">
        <v>1</v>
      </c>
      <c r="E46" s="140">
        <v>1</v>
      </c>
      <c r="F46" s="140">
        <v>1</v>
      </c>
      <c r="G46" s="140">
        <v>1</v>
      </c>
      <c r="H46" s="140">
        <v>1</v>
      </c>
      <c r="I46" s="123"/>
      <c r="J46" s="123"/>
      <c r="K46" s="123"/>
      <c r="L46" s="123"/>
      <c r="M46" s="123"/>
      <c r="N46" s="123"/>
      <c r="O46" s="123"/>
      <c r="P46" s="123"/>
    </row>
    <row r="47" spans="2:16" x14ac:dyDescent="0.25">
      <c r="C47" s="43" t="s">
        <v>236</v>
      </c>
      <c r="D47" s="141">
        <v>1</v>
      </c>
      <c r="E47" s="141">
        <v>1.65</v>
      </c>
      <c r="F47" s="141">
        <v>1.65</v>
      </c>
      <c r="G47" s="141">
        <v>1.65</v>
      </c>
      <c r="H47" s="141">
        <v>1.65</v>
      </c>
      <c r="I47" s="123"/>
      <c r="J47" s="123"/>
      <c r="K47" s="123"/>
      <c r="L47" s="123"/>
      <c r="M47" s="123"/>
      <c r="N47" s="123"/>
      <c r="O47" s="123"/>
      <c r="P47" s="123"/>
    </row>
    <row r="48" spans="2:16" x14ac:dyDescent="0.25">
      <c r="C48" s="43" t="s">
        <v>65</v>
      </c>
      <c r="D48" s="141">
        <v>1</v>
      </c>
      <c r="E48" s="141">
        <v>2.73</v>
      </c>
      <c r="F48" s="141">
        <v>2.73</v>
      </c>
      <c r="G48" s="141">
        <v>2.73</v>
      </c>
      <c r="H48" s="141">
        <v>2.73</v>
      </c>
      <c r="I48" s="123"/>
      <c r="J48" s="123"/>
      <c r="K48" s="123"/>
      <c r="L48" s="123"/>
      <c r="M48" s="123"/>
      <c r="N48" s="123"/>
      <c r="O48" s="123"/>
      <c r="P48" s="123"/>
    </row>
    <row r="49" spans="1:16" x14ac:dyDescent="0.25">
      <c r="C49" s="43" t="s">
        <v>66</v>
      </c>
      <c r="D49" s="141">
        <v>1</v>
      </c>
      <c r="E49" s="141">
        <v>11.21</v>
      </c>
      <c r="F49" s="141">
        <v>11.21</v>
      </c>
      <c r="G49" s="141">
        <v>11.21</v>
      </c>
      <c r="H49" s="141">
        <v>11.21</v>
      </c>
      <c r="I49" s="123"/>
      <c r="J49" s="123"/>
      <c r="K49" s="123"/>
      <c r="L49" s="123"/>
      <c r="M49" s="123"/>
      <c r="N49" s="123"/>
      <c r="O49" s="123"/>
      <c r="P49" s="123"/>
    </row>
    <row r="50" spans="1:16" x14ac:dyDescent="0.25">
      <c r="B50" s="35" t="s">
        <v>23</v>
      </c>
      <c r="C50" s="43" t="s">
        <v>235</v>
      </c>
      <c r="D50" s="140">
        <v>1</v>
      </c>
      <c r="E50" s="140">
        <v>1</v>
      </c>
      <c r="F50" s="140">
        <v>1</v>
      </c>
      <c r="G50" s="140">
        <v>1</v>
      </c>
      <c r="H50" s="140">
        <v>1</v>
      </c>
      <c r="I50" s="123"/>
      <c r="J50" s="123"/>
      <c r="K50" s="123"/>
      <c r="L50" s="123"/>
      <c r="M50" s="123"/>
      <c r="N50" s="123"/>
      <c r="O50" s="123"/>
      <c r="P50" s="123"/>
    </row>
    <row r="51" spans="1:16" x14ac:dyDescent="0.25">
      <c r="C51" s="43" t="s">
        <v>236</v>
      </c>
      <c r="D51" s="141">
        <v>1</v>
      </c>
      <c r="E51" s="141">
        <v>1.65</v>
      </c>
      <c r="F51" s="141">
        <v>1.65</v>
      </c>
      <c r="G51" s="141">
        <v>1.65</v>
      </c>
      <c r="H51" s="141">
        <v>1.65</v>
      </c>
      <c r="I51" s="123"/>
      <c r="J51" s="123"/>
      <c r="K51" s="123"/>
      <c r="L51" s="123"/>
      <c r="M51" s="123"/>
      <c r="N51" s="123"/>
      <c r="O51" s="123"/>
      <c r="P51" s="123"/>
    </row>
    <row r="52" spans="1:16" x14ac:dyDescent="0.25">
      <c r="C52" s="43" t="s">
        <v>65</v>
      </c>
      <c r="D52" s="141">
        <v>1</v>
      </c>
      <c r="E52" s="141">
        <v>2.73</v>
      </c>
      <c r="F52" s="141">
        <v>2.73</v>
      </c>
      <c r="G52" s="141">
        <v>2.73</v>
      </c>
      <c r="H52" s="141">
        <v>2.73</v>
      </c>
      <c r="I52" s="123"/>
      <c r="J52" s="123"/>
      <c r="K52" s="123"/>
      <c r="L52" s="123"/>
      <c r="M52" s="123"/>
      <c r="N52" s="123"/>
      <c r="O52" s="123"/>
      <c r="P52" s="123"/>
    </row>
    <row r="53" spans="1:16" x14ac:dyDescent="0.25">
      <c r="C53" s="43" t="s">
        <v>66</v>
      </c>
      <c r="D53" s="141">
        <v>1</v>
      </c>
      <c r="E53" s="141">
        <v>11.21</v>
      </c>
      <c r="F53" s="141">
        <v>11.21</v>
      </c>
      <c r="G53" s="141">
        <v>11.21</v>
      </c>
      <c r="H53" s="141">
        <v>11.21</v>
      </c>
      <c r="I53" s="123"/>
      <c r="J53" s="123"/>
      <c r="K53" s="123"/>
      <c r="L53" s="123"/>
      <c r="M53" s="123"/>
      <c r="N53" s="123"/>
      <c r="O53" s="123"/>
      <c r="P53" s="123"/>
    </row>
    <row r="54" spans="1:16" x14ac:dyDescent="0.25">
      <c r="C54" s="43"/>
      <c r="D54" s="43"/>
    </row>
    <row r="55" spans="1:16" s="105" customFormat="1" ht="13" x14ac:dyDescent="0.3">
      <c r="A55" s="104" t="s">
        <v>242</v>
      </c>
    </row>
    <row r="56" spans="1:16" s="36" customFormat="1" ht="26" x14ac:dyDescent="0.3">
      <c r="A56" s="126" t="s">
        <v>70</v>
      </c>
      <c r="B56" s="99" t="s">
        <v>233</v>
      </c>
      <c r="C56" s="128" t="s">
        <v>243</v>
      </c>
      <c r="D56" s="108" t="s">
        <v>53</v>
      </c>
      <c r="E56" s="108" t="s">
        <v>54</v>
      </c>
      <c r="F56" s="108" t="s">
        <v>55</v>
      </c>
      <c r="G56" s="108" t="s">
        <v>56</v>
      </c>
      <c r="H56" s="125"/>
      <c r="M56" s="125"/>
      <c r="N56" s="125"/>
      <c r="O56" s="125"/>
      <c r="P56" s="125"/>
    </row>
    <row r="57" spans="1:16" ht="13" x14ac:dyDescent="0.3">
      <c r="A57" s="40"/>
      <c r="B57" s="35" t="s">
        <v>38</v>
      </c>
      <c r="C57" s="43" t="s">
        <v>244</v>
      </c>
      <c r="D57" s="140">
        <v>1</v>
      </c>
      <c r="E57" s="140">
        <v>1</v>
      </c>
      <c r="F57" s="140">
        <v>1</v>
      </c>
      <c r="G57" s="140">
        <v>1</v>
      </c>
      <c r="H57" s="123"/>
      <c r="M57" s="123"/>
      <c r="N57" s="123"/>
      <c r="O57" s="123"/>
      <c r="P57" s="123"/>
    </row>
    <row r="58" spans="1:16" x14ac:dyDescent="0.25">
      <c r="C58" s="43" t="s">
        <v>245</v>
      </c>
      <c r="D58" s="141">
        <v>10.675000000000001</v>
      </c>
      <c r="E58" s="141">
        <v>10.675000000000001</v>
      </c>
      <c r="F58" s="141">
        <v>10.675000000000001</v>
      </c>
      <c r="G58" s="141">
        <v>10.675000000000001</v>
      </c>
      <c r="H58" s="123"/>
      <c r="M58" s="123"/>
      <c r="N58" s="123"/>
      <c r="O58" s="123"/>
      <c r="P58" s="123"/>
    </row>
    <row r="59" spans="1:16" x14ac:dyDescent="0.25">
      <c r="B59" s="35" t="s">
        <v>39</v>
      </c>
      <c r="C59" s="43" t="s">
        <v>244</v>
      </c>
      <c r="D59" s="140">
        <v>1</v>
      </c>
      <c r="E59" s="140">
        <v>1</v>
      </c>
      <c r="F59" s="140">
        <v>1</v>
      </c>
      <c r="G59" s="140">
        <v>1</v>
      </c>
      <c r="H59" s="123"/>
      <c r="M59" s="123"/>
      <c r="N59" s="123"/>
      <c r="O59" s="123"/>
      <c r="P59" s="123"/>
    </row>
    <row r="60" spans="1:16" x14ac:dyDescent="0.25">
      <c r="C60" s="43" t="s">
        <v>245</v>
      </c>
      <c r="D60" s="141">
        <v>10.675000000000001</v>
      </c>
      <c r="E60" s="141">
        <v>10.675000000000001</v>
      </c>
      <c r="F60" s="141">
        <v>10.675000000000001</v>
      </c>
      <c r="G60" s="141">
        <v>10.675000000000001</v>
      </c>
      <c r="H60" s="123"/>
      <c r="M60" s="123"/>
      <c r="N60" s="123"/>
      <c r="O60" s="123"/>
      <c r="P60" s="123"/>
    </row>
    <row r="61" spans="1:16" x14ac:dyDescent="0.25">
      <c r="B61" s="35" t="s">
        <v>40</v>
      </c>
      <c r="C61" s="43" t="s">
        <v>244</v>
      </c>
      <c r="D61" s="140">
        <v>1</v>
      </c>
      <c r="E61" s="140">
        <v>1</v>
      </c>
      <c r="F61" s="140">
        <v>1</v>
      </c>
      <c r="G61" s="140">
        <v>1</v>
      </c>
      <c r="H61" s="123"/>
      <c r="M61" s="123"/>
      <c r="N61" s="123"/>
      <c r="O61" s="123"/>
      <c r="P61" s="123"/>
    </row>
    <row r="62" spans="1:16" x14ac:dyDescent="0.25">
      <c r="C62" s="43" t="s">
        <v>245</v>
      </c>
      <c r="D62" s="141">
        <v>10.675000000000001</v>
      </c>
      <c r="E62" s="141">
        <v>10.675000000000001</v>
      </c>
      <c r="F62" s="141">
        <v>10.675000000000001</v>
      </c>
      <c r="G62" s="141">
        <v>10.675000000000001</v>
      </c>
      <c r="H62" s="123"/>
      <c r="M62" s="123"/>
      <c r="N62" s="123"/>
      <c r="O62" s="123"/>
      <c r="P62" s="123"/>
    </row>
    <row r="63" spans="1:16" x14ac:dyDescent="0.25">
      <c r="C63" s="43"/>
      <c r="D63" s="43"/>
    </row>
    <row r="64" spans="1:16" s="105" customFormat="1" ht="13" x14ac:dyDescent="0.3">
      <c r="A64" s="104" t="s">
        <v>246</v>
      </c>
    </row>
    <row r="65" spans="1:16" s="36" customFormat="1" ht="26" x14ac:dyDescent="0.3">
      <c r="A65" s="126" t="s">
        <v>24</v>
      </c>
      <c r="B65" s="99" t="s">
        <v>233</v>
      </c>
      <c r="C65" s="128" t="s">
        <v>247</v>
      </c>
      <c r="D65" s="108" t="s">
        <v>1</v>
      </c>
      <c r="E65" s="108" t="s">
        <v>2</v>
      </c>
      <c r="F65" s="108" t="s">
        <v>3</v>
      </c>
      <c r="G65" s="108" t="s">
        <v>4</v>
      </c>
      <c r="H65" s="129" t="s">
        <v>5</v>
      </c>
      <c r="I65" s="125"/>
      <c r="J65" s="125"/>
      <c r="K65" s="125"/>
      <c r="L65" s="125"/>
      <c r="M65" s="125"/>
      <c r="N65" s="125"/>
      <c r="O65" s="125"/>
      <c r="P65" s="125"/>
    </row>
    <row r="66" spans="1:16" ht="13" x14ac:dyDescent="0.3">
      <c r="A66" s="130"/>
      <c r="B66" s="35" t="s">
        <v>73</v>
      </c>
      <c r="C66" s="43" t="s">
        <v>166</v>
      </c>
      <c r="D66" s="140">
        <v>1</v>
      </c>
      <c r="E66" s="140">
        <v>1</v>
      </c>
      <c r="F66" s="140">
        <v>1</v>
      </c>
      <c r="G66" s="140">
        <v>1</v>
      </c>
      <c r="H66" s="123">
        <v>1</v>
      </c>
      <c r="I66" s="123"/>
      <c r="J66" s="123"/>
      <c r="K66" s="123"/>
      <c r="L66" s="123"/>
      <c r="M66" s="123"/>
      <c r="N66" s="123"/>
      <c r="O66" s="123"/>
      <c r="P66" s="123"/>
    </row>
    <row r="67" spans="1:16" x14ac:dyDescent="0.25">
      <c r="C67" s="43" t="s">
        <v>167</v>
      </c>
      <c r="D67" s="141">
        <v>1.35</v>
      </c>
      <c r="E67" s="141">
        <v>1</v>
      </c>
      <c r="F67" s="141">
        <v>1</v>
      </c>
      <c r="G67" s="141">
        <v>1</v>
      </c>
      <c r="H67" s="123">
        <v>1</v>
      </c>
      <c r="I67" s="123"/>
      <c r="J67" s="123"/>
      <c r="K67" s="123"/>
      <c r="L67" s="123"/>
      <c r="M67" s="123"/>
      <c r="N67" s="123"/>
      <c r="O67" s="123"/>
      <c r="P67" s="123"/>
    </row>
    <row r="68" spans="1:16" x14ac:dyDescent="0.25">
      <c r="C68" s="43" t="s">
        <v>168</v>
      </c>
      <c r="D68" s="141">
        <v>1.35</v>
      </c>
      <c r="E68" s="141">
        <v>1</v>
      </c>
      <c r="F68" s="141">
        <v>1</v>
      </c>
      <c r="G68" s="141">
        <v>1</v>
      </c>
      <c r="H68" s="123">
        <v>1</v>
      </c>
      <c r="I68" s="123"/>
      <c r="J68" s="123"/>
      <c r="K68" s="123"/>
      <c r="L68" s="123"/>
      <c r="M68" s="123"/>
      <c r="N68" s="123"/>
      <c r="O68" s="123"/>
      <c r="P68" s="123"/>
    </row>
    <row r="69" spans="1:16" x14ac:dyDescent="0.25">
      <c r="C69" s="43" t="s">
        <v>169</v>
      </c>
      <c r="D69" s="141">
        <v>5.4</v>
      </c>
      <c r="E69" s="141">
        <v>1</v>
      </c>
      <c r="F69" s="141">
        <v>1</v>
      </c>
      <c r="G69" s="141">
        <v>1</v>
      </c>
      <c r="H69" s="123">
        <v>1</v>
      </c>
      <c r="I69" s="123"/>
      <c r="J69" s="123"/>
      <c r="K69" s="123"/>
      <c r="L69" s="123"/>
      <c r="M69" s="123"/>
      <c r="N69" s="123"/>
      <c r="O69" s="123"/>
      <c r="P69" s="123"/>
    </row>
    <row r="70" spans="1:16" x14ac:dyDescent="0.25">
      <c r="B70" s="35" t="s">
        <v>7</v>
      </c>
      <c r="C70" s="43" t="s">
        <v>166</v>
      </c>
      <c r="D70" s="140">
        <v>1</v>
      </c>
      <c r="E70" s="140">
        <v>1</v>
      </c>
      <c r="F70" s="140">
        <v>1</v>
      </c>
      <c r="G70" s="140">
        <v>1</v>
      </c>
      <c r="H70" s="123">
        <v>1</v>
      </c>
      <c r="I70" s="123"/>
      <c r="J70" s="123"/>
      <c r="K70" s="123"/>
      <c r="L70" s="123"/>
      <c r="M70" s="123"/>
      <c r="N70" s="123"/>
      <c r="O70" s="123"/>
      <c r="P70" s="123"/>
    </row>
    <row r="71" spans="1:16" x14ac:dyDescent="0.25">
      <c r="C71" s="43" t="s">
        <v>167</v>
      </c>
      <c r="D71" s="141">
        <v>1.35</v>
      </c>
      <c r="E71" s="141">
        <v>1</v>
      </c>
      <c r="F71" s="141">
        <v>1</v>
      </c>
      <c r="G71" s="141">
        <v>1</v>
      </c>
      <c r="H71" s="123">
        <v>1</v>
      </c>
      <c r="I71" s="123"/>
      <c r="J71" s="123"/>
      <c r="K71" s="123"/>
      <c r="L71" s="123"/>
      <c r="M71" s="123"/>
      <c r="N71" s="123"/>
      <c r="O71" s="123"/>
      <c r="P71" s="123"/>
    </row>
    <row r="72" spans="1:16" x14ac:dyDescent="0.25">
      <c r="C72" s="43" t="s">
        <v>168</v>
      </c>
      <c r="D72" s="141">
        <v>1.35</v>
      </c>
      <c r="E72" s="141">
        <v>1</v>
      </c>
      <c r="F72" s="141">
        <v>1</v>
      </c>
      <c r="G72" s="141">
        <v>1</v>
      </c>
      <c r="H72" s="123">
        <v>1</v>
      </c>
      <c r="I72" s="123"/>
      <c r="J72" s="123"/>
      <c r="K72" s="123"/>
      <c r="L72" s="123"/>
      <c r="M72" s="123"/>
      <c r="N72" s="123"/>
      <c r="O72" s="123"/>
      <c r="P72" s="123"/>
    </row>
    <row r="73" spans="1:16" x14ac:dyDescent="0.25">
      <c r="C73" s="43" t="s">
        <v>169</v>
      </c>
      <c r="D73" s="141">
        <v>5.4</v>
      </c>
      <c r="E73" s="141">
        <v>1</v>
      </c>
      <c r="F73" s="141">
        <v>1</v>
      </c>
      <c r="G73" s="141">
        <v>1</v>
      </c>
      <c r="H73" s="123">
        <v>1</v>
      </c>
      <c r="I73" s="123"/>
      <c r="J73" s="123"/>
      <c r="K73" s="123"/>
      <c r="L73" s="123"/>
      <c r="M73" s="123"/>
      <c r="N73" s="123"/>
      <c r="O73" s="123"/>
      <c r="P73" s="123"/>
    </row>
    <row r="74" spans="1:16" x14ac:dyDescent="0.25">
      <c r="B74" s="35" t="s">
        <v>8</v>
      </c>
      <c r="C74" s="43" t="s">
        <v>166</v>
      </c>
      <c r="D74" s="140">
        <v>1</v>
      </c>
      <c r="E74" s="140">
        <v>1</v>
      </c>
      <c r="F74" s="140">
        <v>1</v>
      </c>
      <c r="G74" s="140">
        <v>1</v>
      </c>
      <c r="H74" s="123">
        <v>1</v>
      </c>
      <c r="I74" s="123"/>
      <c r="J74" s="123"/>
      <c r="K74" s="123"/>
      <c r="L74" s="123"/>
      <c r="M74" s="123"/>
      <c r="N74" s="123"/>
      <c r="O74" s="123"/>
      <c r="P74" s="123"/>
    </row>
    <row r="75" spans="1:16" x14ac:dyDescent="0.25">
      <c r="C75" s="43" t="s">
        <v>167</v>
      </c>
      <c r="D75" s="141">
        <v>1.35</v>
      </c>
      <c r="E75" s="141">
        <v>1</v>
      </c>
      <c r="F75" s="141">
        <v>1</v>
      </c>
      <c r="G75" s="141">
        <v>1</v>
      </c>
      <c r="H75" s="123">
        <v>1</v>
      </c>
      <c r="I75" s="123"/>
      <c r="J75" s="123"/>
      <c r="K75" s="123"/>
      <c r="L75" s="123"/>
      <c r="M75" s="123"/>
      <c r="N75" s="123"/>
      <c r="O75" s="123"/>
      <c r="P75" s="123"/>
    </row>
    <row r="76" spans="1:16" x14ac:dyDescent="0.25">
      <c r="C76" s="43" t="s">
        <v>168</v>
      </c>
      <c r="D76" s="141">
        <v>1.35</v>
      </c>
      <c r="E76" s="141">
        <v>1</v>
      </c>
      <c r="F76" s="141">
        <v>1</v>
      </c>
      <c r="G76" s="141">
        <v>1</v>
      </c>
      <c r="H76" s="123">
        <v>1</v>
      </c>
      <c r="I76" s="123"/>
      <c r="J76" s="123"/>
      <c r="K76" s="123"/>
      <c r="L76" s="123"/>
      <c r="M76" s="123"/>
      <c r="N76" s="123"/>
      <c r="O76" s="123"/>
      <c r="P76" s="123"/>
    </row>
    <row r="77" spans="1:16" x14ac:dyDescent="0.25">
      <c r="C77" s="43" t="s">
        <v>169</v>
      </c>
      <c r="D77" s="141">
        <v>5.4</v>
      </c>
      <c r="E77" s="141">
        <v>1</v>
      </c>
      <c r="F77" s="141">
        <v>1</v>
      </c>
      <c r="G77" s="141">
        <v>1</v>
      </c>
      <c r="H77" s="123">
        <v>1</v>
      </c>
      <c r="I77" s="123"/>
      <c r="J77" s="123"/>
      <c r="K77" s="123"/>
      <c r="L77" s="123"/>
      <c r="M77" s="123"/>
      <c r="N77" s="123"/>
      <c r="O77" s="123"/>
      <c r="P77" s="123"/>
    </row>
    <row r="78" spans="1:16" x14ac:dyDescent="0.25">
      <c r="B78" s="35" t="s">
        <v>13</v>
      </c>
      <c r="C78" s="43" t="s">
        <v>166</v>
      </c>
      <c r="D78" s="140">
        <v>1</v>
      </c>
      <c r="E78" s="140">
        <v>1</v>
      </c>
      <c r="F78" s="140">
        <v>1</v>
      </c>
      <c r="G78" s="140">
        <v>1</v>
      </c>
      <c r="H78" s="123">
        <v>1</v>
      </c>
      <c r="I78" s="123"/>
      <c r="J78" s="123"/>
      <c r="K78" s="123"/>
      <c r="L78" s="123"/>
      <c r="M78" s="123"/>
      <c r="N78" s="123"/>
      <c r="O78" s="123"/>
      <c r="P78" s="123"/>
    </row>
    <row r="79" spans="1:16" x14ac:dyDescent="0.25">
      <c r="C79" s="43" t="s">
        <v>167</v>
      </c>
      <c r="D79" s="141">
        <v>1</v>
      </c>
      <c r="E79" s="141">
        <v>1</v>
      </c>
      <c r="F79" s="141">
        <v>1</v>
      </c>
      <c r="G79" s="141">
        <v>1</v>
      </c>
      <c r="H79" s="123">
        <v>1</v>
      </c>
      <c r="I79" s="123"/>
      <c r="J79" s="123"/>
      <c r="K79" s="123"/>
      <c r="L79" s="123"/>
      <c r="M79" s="123"/>
      <c r="N79" s="123"/>
      <c r="O79" s="123"/>
      <c r="P79" s="123"/>
    </row>
    <row r="80" spans="1:16" x14ac:dyDescent="0.25">
      <c r="C80" s="43" t="s">
        <v>168</v>
      </c>
      <c r="D80" s="141">
        <v>1</v>
      </c>
      <c r="E80" s="141">
        <v>1</v>
      </c>
      <c r="F80" s="141">
        <v>1</v>
      </c>
      <c r="G80" s="141">
        <v>1</v>
      </c>
      <c r="H80" s="123">
        <v>1</v>
      </c>
      <c r="I80" s="123"/>
      <c r="J80" s="123"/>
      <c r="K80" s="123"/>
      <c r="L80" s="123"/>
      <c r="M80" s="123"/>
      <c r="N80" s="123"/>
      <c r="O80" s="123"/>
      <c r="P80" s="123"/>
    </row>
    <row r="81" spans="2:16" x14ac:dyDescent="0.25">
      <c r="C81" s="43" t="s">
        <v>169</v>
      </c>
      <c r="D81" s="141">
        <v>1</v>
      </c>
      <c r="E81" s="141">
        <v>1</v>
      </c>
      <c r="F81" s="141">
        <v>1</v>
      </c>
      <c r="G81" s="141">
        <v>1</v>
      </c>
      <c r="H81" s="123">
        <v>1</v>
      </c>
      <c r="I81" s="123"/>
      <c r="J81" s="123"/>
      <c r="K81" s="123"/>
      <c r="L81" s="123"/>
      <c r="M81" s="123"/>
      <c r="N81" s="123"/>
      <c r="O81" s="123"/>
      <c r="P81" s="123"/>
    </row>
    <row r="82" spans="2:16" x14ac:dyDescent="0.25">
      <c r="B82" s="35" t="s">
        <v>71</v>
      </c>
      <c r="C82" s="43" t="s">
        <v>166</v>
      </c>
      <c r="D82" s="140">
        <v>1</v>
      </c>
      <c r="E82" s="140">
        <v>1</v>
      </c>
      <c r="F82" s="140">
        <v>1</v>
      </c>
      <c r="G82" s="140">
        <v>1</v>
      </c>
      <c r="H82" s="123">
        <v>1</v>
      </c>
      <c r="I82" s="123"/>
      <c r="J82" s="123"/>
      <c r="K82" s="123"/>
      <c r="L82" s="123"/>
      <c r="M82" s="123"/>
      <c r="N82" s="123"/>
      <c r="O82" s="123"/>
      <c r="P82" s="123"/>
    </row>
    <row r="83" spans="2:16" x14ac:dyDescent="0.25">
      <c r="C83" s="43" t="s">
        <v>167</v>
      </c>
      <c r="D83" s="141">
        <v>1</v>
      </c>
      <c r="E83" s="141">
        <v>2.2799999999999998</v>
      </c>
      <c r="F83" s="141">
        <v>1</v>
      </c>
      <c r="G83" s="141">
        <v>1</v>
      </c>
      <c r="H83" s="123">
        <v>1</v>
      </c>
      <c r="I83" s="123"/>
      <c r="J83" s="123"/>
      <c r="K83" s="123"/>
      <c r="L83" s="123"/>
      <c r="M83" s="123"/>
      <c r="N83" s="123"/>
      <c r="O83" s="123"/>
      <c r="P83" s="123"/>
    </row>
    <row r="84" spans="2:16" x14ac:dyDescent="0.25">
      <c r="C84" s="43" t="s">
        <v>168</v>
      </c>
      <c r="D84" s="141">
        <v>1</v>
      </c>
      <c r="E84" s="141">
        <v>4.62</v>
      </c>
      <c r="F84" s="141">
        <v>1</v>
      </c>
      <c r="G84" s="141">
        <v>1</v>
      </c>
      <c r="H84" s="123">
        <v>1</v>
      </c>
      <c r="I84" s="123"/>
      <c r="J84" s="123"/>
      <c r="K84" s="123"/>
      <c r="L84" s="123"/>
      <c r="M84" s="123"/>
      <c r="N84" s="123"/>
      <c r="O84" s="123"/>
      <c r="P84" s="123"/>
    </row>
    <row r="85" spans="2:16" x14ac:dyDescent="0.25">
      <c r="C85" s="43" t="s">
        <v>169</v>
      </c>
      <c r="D85" s="141">
        <v>1</v>
      </c>
      <c r="E85" s="141">
        <v>10.53</v>
      </c>
      <c r="F85" s="141">
        <v>1.47</v>
      </c>
      <c r="G85" s="141">
        <v>2.57</v>
      </c>
      <c r="H85" s="123">
        <v>1</v>
      </c>
      <c r="I85" s="123"/>
      <c r="J85" s="123"/>
      <c r="K85" s="123"/>
      <c r="L85" s="123"/>
      <c r="M85" s="123"/>
      <c r="N85" s="123"/>
      <c r="O85" s="123"/>
      <c r="P85" s="123"/>
    </row>
    <row r="86" spans="2:16" x14ac:dyDescent="0.25">
      <c r="B86" s="35" t="s">
        <v>16</v>
      </c>
      <c r="C86" s="43" t="s">
        <v>166</v>
      </c>
      <c r="D86" s="140">
        <v>1</v>
      </c>
      <c r="E86" s="140">
        <v>1</v>
      </c>
      <c r="F86" s="140">
        <v>1</v>
      </c>
      <c r="G86" s="140">
        <v>1</v>
      </c>
      <c r="H86" s="123">
        <v>1</v>
      </c>
      <c r="I86" s="123"/>
      <c r="J86" s="123"/>
      <c r="K86" s="123"/>
      <c r="L86" s="123"/>
      <c r="M86" s="123"/>
      <c r="N86" s="123"/>
      <c r="O86" s="123"/>
      <c r="P86" s="123"/>
    </row>
    <row r="87" spans="2:16" x14ac:dyDescent="0.25">
      <c r="C87" s="43" t="s">
        <v>167</v>
      </c>
      <c r="D87" s="141">
        <v>1</v>
      </c>
      <c r="E87" s="141">
        <v>1.66</v>
      </c>
      <c r="F87" s="141">
        <v>1</v>
      </c>
      <c r="G87" s="141">
        <v>1</v>
      </c>
      <c r="H87" s="123">
        <v>1</v>
      </c>
      <c r="I87" s="123"/>
      <c r="J87" s="123"/>
      <c r="K87" s="123"/>
      <c r="L87" s="123"/>
      <c r="M87" s="123"/>
      <c r="N87" s="123"/>
      <c r="O87" s="123"/>
      <c r="P87" s="123"/>
    </row>
    <row r="88" spans="2:16" x14ac:dyDescent="0.25">
      <c r="C88" s="43" t="s">
        <v>168</v>
      </c>
      <c r="D88" s="141">
        <v>1</v>
      </c>
      <c r="E88" s="141">
        <v>2.5</v>
      </c>
      <c r="F88" s="141">
        <v>1</v>
      </c>
      <c r="G88" s="141">
        <v>1</v>
      </c>
      <c r="H88" s="123">
        <v>1</v>
      </c>
      <c r="I88" s="123"/>
      <c r="J88" s="123"/>
      <c r="K88" s="123"/>
      <c r="L88" s="123"/>
      <c r="M88" s="123"/>
      <c r="N88" s="123"/>
      <c r="O88" s="123"/>
      <c r="P88" s="123"/>
    </row>
    <row r="89" spans="2:16" x14ac:dyDescent="0.25">
      <c r="C89" s="43" t="s">
        <v>169</v>
      </c>
      <c r="D89" s="141">
        <v>1</v>
      </c>
      <c r="E89" s="141">
        <v>14.97</v>
      </c>
      <c r="F89" s="141">
        <v>1.92</v>
      </c>
      <c r="G89" s="141">
        <v>1.92</v>
      </c>
      <c r="H89" s="123">
        <v>1</v>
      </c>
      <c r="I89" s="123"/>
      <c r="J89" s="123"/>
      <c r="K89" s="123"/>
      <c r="L89" s="123"/>
      <c r="M89" s="123"/>
      <c r="N89" s="123"/>
      <c r="O89" s="123"/>
      <c r="P89" s="123"/>
    </row>
    <row r="90" spans="2:16" x14ac:dyDescent="0.25">
      <c r="B90" s="35" t="s">
        <v>18</v>
      </c>
      <c r="C90" s="43" t="s">
        <v>166</v>
      </c>
      <c r="D90" s="140">
        <v>1</v>
      </c>
      <c r="E90" s="140">
        <v>1</v>
      </c>
      <c r="F90" s="140">
        <v>1</v>
      </c>
      <c r="G90" s="140">
        <v>1</v>
      </c>
      <c r="H90" s="123">
        <v>1</v>
      </c>
      <c r="I90" s="123"/>
      <c r="J90" s="123"/>
      <c r="K90" s="123"/>
      <c r="L90" s="123"/>
      <c r="M90" s="123"/>
      <c r="N90" s="123"/>
      <c r="O90" s="123"/>
      <c r="P90" s="123"/>
    </row>
    <row r="91" spans="2:16" x14ac:dyDescent="0.25">
      <c r="C91" s="43" t="s">
        <v>167</v>
      </c>
      <c r="D91" s="141">
        <v>1</v>
      </c>
      <c r="E91" s="141">
        <v>1.48</v>
      </c>
      <c r="F91" s="141">
        <v>1</v>
      </c>
      <c r="G91" s="141">
        <v>1</v>
      </c>
      <c r="H91" s="123">
        <v>1</v>
      </c>
      <c r="I91" s="123"/>
      <c r="J91" s="123"/>
      <c r="K91" s="123"/>
      <c r="L91" s="123"/>
      <c r="M91" s="123"/>
      <c r="N91" s="123"/>
      <c r="O91" s="123"/>
      <c r="P91" s="123"/>
    </row>
    <row r="92" spans="2:16" x14ac:dyDescent="0.25">
      <c r="C92" s="43" t="s">
        <v>168</v>
      </c>
      <c r="D92" s="141">
        <v>1</v>
      </c>
      <c r="E92" s="141">
        <v>2.84</v>
      </c>
      <c r="F92" s="141">
        <v>1</v>
      </c>
      <c r="G92" s="141">
        <v>1</v>
      </c>
      <c r="H92" s="123">
        <v>1</v>
      </c>
      <c r="I92" s="123"/>
      <c r="J92" s="123"/>
      <c r="K92" s="123"/>
      <c r="L92" s="123"/>
      <c r="M92" s="123"/>
      <c r="N92" s="123"/>
      <c r="O92" s="123"/>
      <c r="P92" s="123"/>
    </row>
    <row r="93" spans="2:16" x14ac:dyDescent="0.25">
      <c r="C93" s="43" t="s">
        <v>169</v>
      </c>
      <c r="D93" s="141">
        <v>1</v>
      </c>
      <c r="E93" s="141">
        <v>14.4</v>
      </c>
      <c r="F93" s="141">
        <v>3.69</v>
      </c>
      <c r="G93" s="141">
        <v>3.69</v>
      </c>
      <c r="H93" s="123">
        <v>1</v>
      </c>
      <c r="I93" s="123"/>
      <c r="J93" s="123"/>
      <c r="K93" s="123"/>
      <c r="L93" s="123"/>
      <c r="M93" s="123"/>
      <c r="N93" s="123"/>
      <c r="O93" s="123"/>
      <c r="P93" s="123"/>
    </row>
    <row r="94" spans="2:16" x14ac:dyDescent="0.25">
      <c r="B94" s="35" t="s">
        <v>17</v>
      </c>
      <c r="C94" s="43" t="s">
        <v>166</v>
      </c>
      <c r="D94" s="140">
        <v>1</v>
      </c>
      <c r="E94" s="140">
        <v>1</v>
      </c>
      <c r="F94" s="140">
        <v>1</v>
      </c>
      <c r="G94" s="140">
        <v>1</v>
      </c>
      <c r="H94" s="123">
        <v>1</v>
      </c>
      <c r="I94" s="123"/>
      <c r="J94" s="123"/>
      <c r="K94" s="123"/>
      <c r="L94" s="123"/>
      <c r="M94" s="123"/>
      <c r="N94" s="123"/>
      <c r="O94" s="123"/>
      <c r="P94" s="123"/>
    </row>
    <row r="95" spans="2:16" x14ac:dyDescent="0.25">
      <c r="C95" s="43" t="s">
        <v>167</v>
      </c>
      <c r="D95" s="141">
        <v>1</v>
      </c>
      <c r="E95" s="141">
        <v>1.48</v>
      </c>
      <c r="F95" s="141">
        <v>1</v>
      </c>
      <c r="G95" s="141">
        <v>1</v>
      </c>
      <c r="H95" s="123">
        <v>1</v>
      </c>
      <c r="I95" s="123"/>
      <c r="J95" s="123"/>
      <c r="K95" s="123"/>
      <c r="L95" s="123"/>
      <c r="M95" s="123"/>
      <c r="N95" s="123"/>
      <c r="O95" s="123"/>
      <c r="P95" s="123"/>
    </row>
    <row r="96" spans="2:16" x14ac:dyDescent="0.25">
      <c r="C96" s="43" t="s">
        <v>168</v>
      </c>
      <c r="D96" s="141">
        <v>1</v>
      </c>
      <c r="E96" s="141">
        <v>2.84</v>
      </c>
      <c r="F96" s="141">
        <v>1</v>
      </c>
      <c r="G96" s="141">
        <v>1</v>
      </c>
      <c r="H96" s="123">
        <v>1</v>
      </c>
      <c r="I96" s="123"/>
      <c r="J96" s="123"/>
      <c r="K96" s="123"/>
      <c r="L96" s="123"/>
      <c r="M96" s="123"/>
      <c r="N96" s="123"/>
      <c r="O96" s="123"/>
      <c r="P96" s="123"/>
    </row>
    <row r="97" spans="1:16" x14ac:dyDescent="0.25">
      <c r="C97" s="43" t="s">
        <v>169</v>
      </c>
      <c r="D97" s="141">
        <v>1</v>
      </c>
      <c r="E97" s="141">
        <v>14.4</v>
      </c>
      <c r="F97" s="141">
        <v>3.69</v>
      </c>
      <c r="G97" s="141">
        <v>3.69</v>
      </c>
      <c r="H97" s="123">
        <v>1</v>
      </c>
      <c r="I97" s="123"/>
      <c r="J97" s="123"/>
      <c r="K97" s="123"/>
      <c r="L97" s="123"/>
      <c r="M97" s="123"/>
      <c r="N97" s="123"/>
      <c r="O97" s="123"/>
      <c r="P97" s="123"/>
    </row>
    <row r="98" spans="1:16" x14ac:dyDescent="0.25">
      <c r="B98" s="35" t="s">
        <v>20</v>
      </c>
      <c r="C98" s="43" t="s">
        <v>166</v>
      </c>
      <c r="D98" s="140">
        <v>1</v>
      </c>
      <c r="E98" s="140">
        <v>1</v>
      </c>
      <c r="F98" s="140">
        <v>1</v>
      </c>
      <c r="G98" s="140">
        <v>1</v>
      </c>
      <c r="H98" s="123">
        <v>1</v>
      </c>
      <c r="I98" s="123"/>
      <c r="J98" s="123"/>
      <c r="K98" s="123"/>
      <c r="L98" s="123"/>
      <c r="M98" s="123"/>
      <c r="N98" s="123"/>
      <c r="O98" s="123"/>
      <c r="P98" s="123"/>
    </row>
    <row r="99" spans="1:16" x14ac:dyDescent="0.25">
      <c r="C99" s="43" t="s">
        <v>167</v>
      </c>
      <c r="D99" s="141">
        <v>1</v>
      </c>
      <c r="E99" s="141">
        <v>1.48</v>
      </c>
      <c r="F99" s="141">
        <v>1</v>
      </c>
      <c r="G99" s="141">
        <v>1</v>
      </c>
      <c r="H99" s="123">
        <v>1</v>
      </c>
      <c r="I99" s="123"/>
      <c r="J99" s="123"/>
      <c r="K99" s="123"/>
      <c r="L99" s="123"/>
      <c r="M99" s="123"/>
      <c r="N99" s="123"/>
      <c r="O99" s="123"/>
      <c r="P99" s="123"/>
    </row>
    <row r="100" spans="1:16" x14ac:dyDescent="0.25">
      <c r="C100" s="43" t="s">
        <v>168</v>
      </c>
      <c r="D100" s="141">
        <v>1</v>
      </c>
      <c r="E100" s="141">
        <v>2.84</v>
      </c>
      <c r="F100" s="141">
        <v>1</v>
      </c>
      <c r="G100" s="141">
        <v>1</v>
      </c>
      <c r="H100" s="123">
        <v>1</v>
      </c>
      <c r="I100" s="123"/>
      <c r="J100" s="123"/>
      <c r="K100" s="123"/>
      <c r="L100" s="123"/>
      <c r="M100" s="123"/>
      <c r="N100" s="123"/>
      <c r="O100" s="123"/>
      <c r="P100" s="123"/>
    </row>
    <row r="101" spans="1:16" x14ac:dyDescent="0.25">
      <c r="C101" s="43" t="s">
        <v>169</v>
      </c>
      <c r="D101" s="141">
        <v>1</v>
      </c>
      <c r="E101" s="141">
        <v>14.4</v>
      </c>
      <c r="F101" s="141">
        <v>3.69</v>
      </c>
      <c r="G101" s="141">
        <v>3.69</v>
      </c>
      <c r="H101" s="123">
        <v>1</v>
      </c>
      <c r="I101" s="123"/>
      <c r="J101" s="123"/>
      <c r="K101" s="123"/>
      <c r="L101" s="123"/>
      <c r="M101" s="123"/>
      <c r="N101" s="123"/>
      <c r="O101" s="123"/>
      <c r="P101" s="123"/>
    </row>
    <row r="103" spans="1:16" s="105" customFormat="1" ht="13" x14ac:dyDescent="0.3">
      <c r="A103" s="104" t="s">
        <v>248</v>
      </c>
    </row>
    <row r="104" spans="1:16" s="36" customFormat="1" ht="26" x14ac:dyDescent="0.3">
      <c r="A104" s="126" t="s">
        <v>71</v>
      </c>
      <c r="B104" s="131" t="s">
        <v>169</v>
      </c>
      <c r="C104" s="128" t="s">
        <v>247</v>
      </c>
      <c r="D104" s="108" t="s">
        <v>1</v>
      </c>
      <c r="E104" s="108" t="s">
        <v>2</v>
      </c>
      <c r="F104" s="108" t="s">
        <v>3</v>
      </c>
      <c r="G104" s="108" t="s">
        <v>4</v>
      </c>
      <c r="H104" s="129" t="s">
        <v>5</v>
      </c>
      <c r="I104" s="125"/>
      <c r="J104" s="125"/>
      <c r="K104" s="125"/>
      <c r="L104" s="125"/>
      <c r="M104" s="125"/>
      <c r="N104" s="125"/>
      <c r="O104" s="125"/>
      <c r="P104" s="125"/>
    </row>
    <row r="105" spans="1:16" ht="13" x14ac:dyDescent="0.3">
      <c r="A105" s="40"/>
      <c r="B105" s="36"/>
      <c r="C105" s="43" t="s">
        <v>166</v>
      </c>
      <c r="D105" s="140">
        <v>1</v>
      </c>
      <c r="E105" s="140">
        <v>1</v>
      </c>
      <c r="F105" s="140">
        <v>1</v>
      </c>
      <c r="G105" s="140">
        <v>1</v>
      </c>
      <c r="H105" s="123">
        <v>1</v>
      </c>
      <c r="I105" s="123"/>
      <c r="J105" s="123"/>
      <c r="K105" s="123"/>
      <c r="L105" s="123"/>
      <c r="M105" s="123"/>
      <c r="N105" s="123"/>
      <c r="O105" s="123"/>
      <c r="P105" s="123"/>
    </row>
    <row r="106" spans="1:16" x14ac:dyDescent="0.25">
      <c r="C106" s="43" t="s">
        <v>167</v>
      </c>
      <c r="D106" s="141">
        <v>1.26</v>
      </c>
      <c r="E106" s="141">
        <v>1.26</v>
      </c>
      <c r="F106" s="141">
        <v>1</v>
      </c>
      <c r="G106" s="141">
        <v>1</v>
      </c>
      <c r="H106" s="123">
        <v>1</v>
      </c>
      <c r="I106" s="123"/>
      <c r="J106" s="123"/>
      <c r="K106" s="123"/>
      <c r="L106" s="123"/>
      <c r="M106" s="123"/>
      <c r="N106" s="123"/>
      <c r="O106" s="123"/>
      <c r="P106" s="123"/>
    </row>
    <row r="107" spans="1:16" x14ac:dyDescent="0.25">
      <c r="C107" s="43" t="s">
        <v>168</v>
      </c>
      <c r="D107" s="141">
        <v>1.68</v>
      </c>
      <c r="E107" s="141">
        <v>1.68</v>
      </c>
      <c r="F107" s="141">
        <v>1</v>
      </c>
      <c r="G107" s="141">
        <v>1</v>
      </c>
      <c r="H107" s="123">
        <v>1</v>
      </c>
      <c r="I107" s="123"/>
      <c r="J107" s="123"/>
      <c r="K107" s="123"/>
      <c r="L107" s="123"/>
      <c r="M107" s="123"/>
      <c r="N107" s="123"/>
      <c r="O107" s="123"/>
      <c r="P107" s="123"/>
    </row>
    <row r="108" spans="1:16" x14ac:dyDescent="0.25">
      <c r="C108" s="43" t="s">
        <v>169</v>
      </c>
      <c r="D108" s="141">
        <v>2.65</v>
      </c>
      <c r="E108" s="141">
        <v>2.65</v>
      </c>
      <c r="F108" s="141">
        <v>2.0699999999999998</v>
      </c>
      <c r="G108" s="141">
        <v>2.0699999999999998</v>
      </c>
      <c r="H108" s="123">
        <v>1</v>
      </c>
      <c r="I108" s="123"/>
      <c r="J108" s="123"/>
      <c r="K108" s="123"/>
      <c r="L108" s="123"/>
      <c r="M108" s="123"/>
      <c r="N108" s="123"/>
      <c r="O108" s="123"/>
      <c r="P108" s="123"/>
    </row>
    <row r="111" spans="1:16" ht="13" x14ac:dyDescent="0.3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20"/>
  <sheetViews>
    <sheetView zoomScale="70" zoomScaleNormal="70" workbookViewId="0">
      <selection activeCell="D3" sqref="D3"/>
    </sheetView>
  </sheetViews>
  <sheetFormatPr defaultColWidth="12.7265625" defaultRowHeight="12.5" x14ac:dyDescent="0.25"/>
  <cols>
    <col min="1" max="1" width="25.7265625" style="35" customWidth="1"/>
    <col min="2" max="2" width="44.453125" style="35" customWidth="1"/>
    <col min="3" max="3" width="17.7265625" style="35" customWidth="1"/>
    <col min="4" max="4" width="17.54296875" style="35" customWidth="1"/>
    <col min="5" max="5" width="17.26953125" style="35" customWidth="1"/>
    <col min="6" max="6" width="15" style="35" customWidth="1"/>
    <col min="7" max="7" width="13.7265625" style="35" customWidth="1"/>
    <col min="8" max="16384" width="12.7265625" style="35"/>
  </cols>
  <sheetData>
    <row r="1" spans="1:7" s="105" customFormat="1" ht="14.25" customHeight="1" x14ac:dyDescent="0.3">
      <c r="A1" s="104" t="s">
        <v>249</v>
      </c>
    </row>
    <row r="2" spans="1:7" ht="14.25" customHeight="1" x14ac:dyDescent="0.3">
      <c r="A2" s="130" t="s">
        <v>25</v>
      </c>
      <c r="B2" s="124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8" t="s">
        <v>250</v>
      </c>
      <c r="C3" s="141" t="s">
        <v>251</v>
      </c>
      <c r="D3" s="141">
        <v>45</v>
      </c>
      <c r="E3" s="141">
        <v>361.6</v>
      </c>
      <c r="F3" s="141">
        <v>174.7</v>
      </c>
      <c r="G3" s="141">
        <v>174.7</v>
      </c>
    </row>
    <row r="4" spans="1:7" ht="14.25" customHeight="1" x14ac:dyDescent="0.3">
      <c r="A4" s="40"/>
      <c r="B4" s="122" t="s">
        <v>252</v>
      </c>
      <c r="C4" s="141">
        <v>1.0249999999999999</v>
      </c>
      <c r="D4" s="141">
        <v>1.0249999999999999</v>
      </c>
      <c r="E4" s="141">
        <v>1.0249999999999999</v>
      </c>
      <c r="F4" s="141">
        <v>1.0249999999999999</v>
      </c>
      <c r="G4" s="141">
        <v>1.0249999999999999</v>
      </c>
    </row>
    <row r="5" spans="1:7" ht="14.25" customHeight="1" x14ac:dyDescent="0.3">
      <c r="A5" s="109" t="s">
        <v>253</v>
      </c>
    </row>
    <row r="6" spans="1:7" ht="14.25" customHeight="1" x14ac:dyDescent="0.25">
      <c r="B6" s="122" t="s">
        <v>58</v>
      </c>
      <c r="C6" s="141">
        <v>1</v>
      </c>
      <c r="D6" s="141">
        <v>1</v>
      </c>
      <c r="E6" s="141">
        <v>0.89</v>
      </c>
      <c r="F6" s="141">
        <v>0.89</v>
      </c>
      <c r="G6" s="141">
        <v>1</v>
      </c>
    </row>
    <row r="7" spans="1:7" ht="14.25" customHeight="1" x14ac:dyDescent="0.25">
      <c r="B7" s="122" t="s">
        <v>136</v>
      </c>
      <c r="C7" s="141">
        <v>1</v>
      </c>
      <c r="D7" s="141">
        <v>1</v>
      </c>
      <c r="E7" s="141">
        <v>0.89</v>
      </c>
      <c r="F7" s="141">
        <v>0.89</v>
      </c>
      <c r="G7" s="141">
        <v>1</v>
      </c>
    </row>
    <row r="8" spans="1:7" ht="14.25" customHeight="1" x14ac:dyDescent="0.25">
      <c r="B8" s="122" t="s">
        <v>60</v>
      </c>
      <c r="C8" s="141">
        <v>1</v>
      </c>
      <c r="D8" s="141">
        <v>1</v>
      </c>
      <c r="E8" s="141">
        <v>1</v>
      </c>
      <c r="F8" s="141">
        <v>1</v>
      </c>
      <c r="G8" s="141">
        <v>1</v>
      </c>
    </row>
    <row r="9" spans="1:7" ht="14.25" customHeight="1" x14ac:dyDescent="0.25">
      <c r="B9" s="122"/>
      <c r="C9" s="122"/>
      <c r="D9" s="122"/>
      <c r="E9" s="122"/>
      <c r="F9" s="122"/>
      <c r="G9" s="122"/>
    </row>
    <row r="10" spans="1:7" s="105" customFormat="1" ht="14.25" customHeight="1" x14ac:dyDescent="0.3">
      <c r="A10" s="104" t="s">
        <v>254</v>
      </c>
    </row>
    <row r="11" spans="1:7" ht="14.25" customHeight="1" x14ac:dyDescent="0.3">
      <c r="A11" s="109"/>
      <c r="B11" s="118" t="s">
        <v>196</v>
      </c>
      <c r="C11" s="141">
        <v>1.5</v>
      </c>
      <c r="D11" s="141">
        <v>1.39</v>
      </c>
      <c r="E11" s="141">
        <v>1</v>
      </c>
      <c r="F11" s="141">
        <v>1</v>
      </c>
      <c r="G11" s="141">
        <v>1</v>
      </c>
    </row>
    <row r="12" spans="1:7" ht="14.25" customHeight="1" x14ac:dyDescent="0.3">
      <c r="A12" s="109"/>
      <c r="B12" s="118"/>
    </row>
    <row r="13" spans="1:7" s="105" customFormat="1" ht="14.25" customHeight="1" x14ac:dyDescent="0.3">
      <c r="A13" s="104" t="s">
        <v>255</v>
      </c>
    </row>
    <row r="14" spans="1:7" ht="14.25" customHeight="1" x14ac:dyDescent="0.3">
      <c r="A14" s="130" t="s">
        <v>240</v>
      </c>
      <c r="B14" s="122" t="s">
        <v>256</v>
      </c>
      <c r="C14" s="141">
        <v>1.0249999999999999</v>
      </c>
      <c r="D14" s="141">
        <v>1.0249999999999999</v>
      </c>
      <c r="E14" s="141">
        <v>1.0249999999999999</v>
      </c>
      <c r="F14" s="141">
        <v>1.0249999999999999</v>
      </c>
      <c r="G14" s="141">
        <v>1.0249999999999999</v>
      </c>
    </row>
    <row r="15" spans="1:7" ht="14.25" customHeight="1" x14ac:dyDescent="0.3">
      <c r="A15" s="40"/>
      <c r="B15" s="122" t="s">
        <v>257</v>
      </c>
      <c r="C15" s="141">
        <v>1.0249999999999999</v>
      </c>
      <c r="D15" s="141">
        <v>1.0249999999999999</v>
      </c>
      <c r="E15" s="141">
        <v>1.0249999999999999</v>
      </c>
      <c r="F15" s="141">
        <v>1.0249999999999999</v>
      </c>
      <c r="G15" s="141">
        <v>1.0249999999999999</v>
      </c>
    </row>
    <row r="16" spans="1:7" ht="14.25" customHeight="1" x14ac:dyDescent="0.3">
      <c r="A16" s="130" t="s">
        <v>70</v>
      </c>
      <c r="B16" s="118" t="s">
        <v>258</v>
      </c>
      <c r="C16" s="141">
        <v>1</v>
      </c>
      <c r="D16" s="141">
        <v>1</v>
      </c>
      <c r="E16" s="141">
        <v>1</v>
      </c>
      <c r="F16" s="141">
        <v>1</v>
      </c>
      <c r="G16" s="141">
        <v>1</v>
      </c>
    </row>
    <row r="17" spans="1:6" ht="14.25" customHeight="1" x14ac:dyDescent="0.25"/>
    <row r="18" spans="1:6" s="105" customFormat="1" ht="14.25" customHeight="1" x14ac:dyDescent="0.3">
      <c r="A18" s="104" t="s">
        <v>259</v>
      </c>
    </row>
    <row r="19" spans="1:6" s="109" customFormat="1" ht="14.25" customHeight="1" x14ac:dyDescent="0.3">
      <c r="C19" s="59" t="s">
        <v>49</v>
      </c>
      <c r="D19" s="59" t="s">
        <v>50</v>
      </c>
      <c r="E19" s="59" t="s">
        <v>51</v>
      </c>
      <c r="F19" s="59" t="s">
        <v>52</v>
      </c>
    </row>
    <row r="20" spans="1:6" x14ac:dyDescent="0.25">
      <c r="B20" s="118" t="s">
        <v>198</v>
      </c>
      <c r="C20" s="141">
        <v>1.52</v>
      </c>
      <c r="D20" s="141">
        <v>1</v>
      </c>
      <c r="E20" s="141">
        <v>1</v>
      </c>
      <c r="F20" s="14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F20"/>
  <sheetViews>
    <sheetView workbookViewId="0">
      <selection activeCell="E6" sqref="C6:E6"/>
    </sheetView>
  </sheetViews>
  <sheetFormatPr defaultColWidth="16.1796875" defaultRowHeight="15.75" customHeight="1" x14ac:dyDescent="0.25"/>
  <cols>
    <col min="1" max="1" width="52.26953125" style="35" customWidth="1"/>
    <col min="2" max="6" width="16.1796875" style="35"/>
    <col min="7" max="7" width="17.26953125" style="35" customWidth="1"/>
    <col min="8" max="8" width="16.1796875" style="35" customWidth="1"/>
    <col min="9" max="16384" width="16.1796875" style="35"/>
  </cols>
  <sheetData>
    <row r="1" spans="1:6" ht="15.75" customHeight="1" x14ac:dyDescent="0.3">
      <c r="A1" s="124" t="s">
        <v>69</v>
      </c>
      <c r="B1" s="40"/>
      <c r="C1" s="40" t="s">
        <v>9</v>
      </c>
      <c r="D1" s="40" t="s">
        <v>12</v>
      </c>
      <c r="E1" s="40" t="s">
        <v>11</v>
      </c>
      <c r="F1" s="124" t="s">
        <v>26</v>
      </c>
    </row>
    <row r="2" spans="1:6" ht="15.75" customHeight="1" x14ac:dyDescent="0.25">
      <c r="A2" s="95" t="s">
        <v>29</v>
      </c>
      <c r="B2" s="95" t="s">
        <v>260</v>
      </c>
      <c r="C2" s="141">
        <v>0.21</v>
      </c>
      <c r="D2" s="141">
        <v>0.21</v>
      </c>
      <c r="E2" s="141">
        <v>0</v>
      </c>
      <c r="F2" s="141">
        <v>0</v>
      </c>
    </row>
    <row r="3" spans="1:6" ht="15.75" customHeight="1" x14ac:dyDescent="0.25">
      <c r="A3" s="95"/>
      <c r="B3" s="95" t="s">
        <v>261</v>
      </c>
      <c r="C3" s="141">
        <v>1</v>
      </c>
      <c r="D3" s="141">
        <v>1</v>
      </c>
      <c r="E3" s="141">
        <v>1</v>
      </c>
      <c r="F3" s="141">
        <v>1</v>
      </c>
    </row>
    <row r="4" spans="1:6" ht="15.75" customHeight="1" x14ac:dyDescent="0.25">
      <c r="A4" s="95" t="s">
        <v>187</v>
      </c>
      <c r="B4" s="95" t="s">
        <v>260</v>
      </c>
      <c r="C4" s="141">
        <v>0</v>
      </c>
      <c r="D4" s="141">
        <v>0</v>
      </c>
      <c r="E4" s="141">
        <v>0</v>
      </c>
      <c r="F4" s="141">
        <v>0</v>
      </c>
    </row>
    <row r="5" spans="1:6" ht="15.75" customHeight="1" x14ac:dyDescent="0.25">
      <c r="A5" s="95"/>
      <c r="B5" s="95" t="s">
        <v>261</v>
      </c>
      <c r="C5" s="141">
        <v>1</v>
      </c>
      <c r="D5" s="141">
        <v>1</v>
      </c>
      <c r="E5" s="141">
        <v>1</v>
      </c>
      <c r="F5" s="141">
        <v>1</v>
      </c>
    </row>
    <row r="6" spans="1:6" ht="15.75" customHeight="1" x14ac:dyDescent="0.25">
      <c r="A6" s="95" t="s">
        <v>209</v>
      </c>
      <c r="B6" s="95" t="s">
        <v>260</v>
      </c>
      <c r="C6" s="141">
        <v>0</v>
      </c>
      <c r="D6" s="141">
        <v>0</v>
      </c>
      <c r="E6" s="141">
        <v>0</v>
      </c>
      <c r="F6" s="141">
        <v>0</v>
      </c>
    </row>
    <row r="7" spans="1:6" ht="15.75" customHeight="1" x14ac:dyDescent="0.25">
      <c r="A7" s="95"/>
      <c r="B7" s="95" t="s">
        <v>261</v>
      </c>
      <c r="C7" s="141">
        <v>1</v>
      </c>
      <c r="D7" s="141">
        <v>1</v>
      </c>
      <c r="E7" s="141">
        <v>1</v>
      </c>
      <c r="F7" s="141">
        <v>1</v>
      </c>
    </row>
    <row r="8" spans="1:6" ht="15.75" customHeight="1" x14ac:dyDescent="0.25">
      <c r="A8" s="95" t="s">
        <v>57</v>
      </c>
      <c r="B8" s="95" t="s">
        <v>260</v>
      </c>
      <c r="C8" s="141">
        <v>0.35</v>
      </c>
      <c r="D8" s="141">
        <v>0.35</v>
      </c>
      <c r="E8" s="141">
        <v>0</v>
      </c>
      <c r="F8" s="141">
        <v>0</v>
      </c>
    </row>
    <row r="9" spans="1:6" ht="15.75" customHeight="1" x14ac:dyDescent="0.25">
      <c r="A9" s="95"/>
      <c r="B9" s="95" t="s">
        <v>261</v>
      </c>
      <c r="C9" s="141">
        <v>1</v>
      </c>
      <c r="D9" s="141">
        <v>1</v>
      </c>
      <c r="E9" s="141">
        <v>0</v>
      </c>
      <c r="F9" s="141">
        <v>0</v>
      </c>
    </row>
    <row r="10" spans="1:6" ht="15.75" customHeight="1" x14ac:dyDescent="0.25">
      <c r="A10" s="95" t="s">
        <v>34</v>
      </c>
      <c r="B10" s="95" t="s">
        <v>260</v>
      </c>
      <c r="C10" s="141">
        <v>0.35</v>
      </c>
      <c r="D10" s="141">
        <v>0.35</v>
      </c>
      <c r="E10" s="141">
        <v>0</v>
      </c>
      <c r="F10" s="141">
        <v>0</v>
      </c>
    </row>
    <row r="11" spans="1:6" ht="15.75" customHeight="1" x14ac:dyDescent="0.25">
      <c r="A11" s="95"/>
      <c r="B11" s="95" t="s">
        <v>261</v>
      </c>
      <c r="C11" s="141">
        <v>1</v>
      </c>
      <c r="D11" s="141">
        <v>1</v>
      </c>
      <c r="E11" s="141">
        <v>0</v>
      </c>
      <c r="F11" s="141">
        <v>0</v>
      </c>
    </row>
    <row r="12" spans="1:6" ht="15.75" customHeight="1" x14ac:dyDescent="0.25">
      <c r="A12" s="95" t="s">
        <v>59</v>
      </c>
      <c r="B12" s="95" t="s">
        <v>260</v>
      </c>
      <c r="C12" s="141">
        <v>0.08</v>
      </c>
      <c r="D12" s="141">
        <v>0.08</v>
      </c>
      <c r="E12" s="141">
        <v>0</v>
      </c>
      <c r="F12" s="141">
        <v>0</v>
      </c>
    </row>
    <row r="13" spans="1:6" ht="15.75" customHeight="1" x14ac:dyDescent="0.25">
      <c r="A13" s="95"/>
      <c r="B13" s="95" t="s">
        <v>261</v>
      </c>
      <c r="C13" s="141">
        <v>1</v>
      </c>
      <c r="D13" s="141">
        <v>1</v>
      </c>
      <c r="E13" s="141">
        <v>1</v>
      </c>
      <c r="F13" s="141">
        <v>1</v>
      </c>
    </row>
    <row r="19" spans="1:1" ht="15.75" customHeight="1" x14ac:dyDescent="0.25">
      <c r="A19" s="95"/>
    </row>
    <row r="20" spans="1:1" ht="15.75" customHeight="1" x14ac:dyDescent="0.25">
      <c r="A20" s="95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O28"/>
  <sheetViews>
    <sheetView topLeftCell="H1" workbookViewId="0">
      <selection activeCell="E19" sqref="E19:O20"/>
    </sheetView>
  </sheetViews>
  <sheetFormatPr defaultColWidth="12.7265625" defaultRowHeight="12.5" x14ac:dyDescent="0.25"/>
  <cols>
    <col min="1" max="1" width="22.54296875" style="35" customWidth="1"/>
    <col min="2" max="2" width="58.81640625" style="35" bestFit="1" customWidth="1"/>
    <col min="3" max="15" width="15" style="35" customWidth="1"/>
    <col min="16" max="16384" width="12.7265625" style="35"/>
  </cols>
  <sheetData>
    <row r="1" spans="1:15" ht="35.25" customHeight="1" x14ac:dyDescent="0.3">
      <c r="A1" s="40"/>
      <c r="B1" s="40"/>
      <c r="C1" s="108" t="s">
        <v>1</v>
      </c>
      <c r="D1" s="108" t="s">
        <v>2</v>
      </c>
      <c r="E1" s="108" t="s">
        <v>3</v>
      </c>
      <c r="F1" s="108" t="s">
        <v>4</v>
      </c>
      <c r="G1" s="108" t="s">
        <v>5</v>
      </c>
      <c r="H1" s="108" t="s">
        <v>49</v>
      </c>
      <c r="I1" s="108" t="s">
        <v>50</v>
      </c>
      <c r="J1" s="108" t="s">
        <v>51</v>
      </c>
      <c r="K1" s="108" t="s">
        <v>52</v>
      </c>
      <c r="L1" s="108" t="s">
        <v>53</v>
      </c>
      <c r="M1" s="108" t="s">
        <v>54</v>
      </c>
      <c r="N1" s="108" t="s">
        <v>55</v>
      </c>
      <c r="O1" s="108" t="s">
        <v>56</v>
      </c>
    </row>
    <row r="2" spans="1:15" ht="13" x14ac:dyDescent="0.3">
      <c r="A2" s="40" t="s">
        <v>262</v>
      </c>
    </row>
    <row r="3" spans="1:15" x14ac:dyDescent="0.25">
      <c r="B3" s="63" t="s">
        <v>149</v>
      </c>
      <c r="C3" s="141">
        <v>0.53</v>
      </c>
      <c r="D3" s="141">
        <v>0.53</v>
      </c>
      <c r="E3" s="141">
        <v>1</v>
      </c>
      <c r="F3" s="141">
        <v>1</v>
      </c>
      <c r="G3" s="141">
        <v>1</v>
      </c>
      <c r="H3" s="141">
        <v>1</v>
      </c>
      <c r="I3" s="141">
        <v>1</v>
      </c>
      <c r="J3" s="141">
        <v>1</v>
      </c>
      <c r="K3" s="141">
        <v>1</v>
      </c>
      <c r="L3" s="141">
        <v>1</v>
      </c>
      <c r="M3" s="141">
        <v>1</v>
      </c>
      <c r="N3" s="141">
        <v>1</v>
      </c>
      <c r="O3" s="141">
        <v>1</v>
      </c>
    </row>
    <row r="4" spans="1:15" x14ac:dyDescent="0.25">
      <c r="B4" s="63" t="s">
        <v>188</v>
      </c>
      <c r="C4" s="141">
        <v>1</v>
      </c>
      <c r="D4" s="141">
        <v>1</v>
      </c>
      <c r="E4" s="141">
        <v>1</v>
      </c>
      <c r="F4" s="141">
        <v>1</v>
      </c>
      <c r="G4" s="141">
        <v>1</v>
      </c>
      <c r="H4" s="141">
        <v>0.73</v>
      </c>
      <c r="I4" s="141">
        <v>0.73</v>
      </c>
      <c r="J4" s="141">
        <v>0.73</v>
      </c>
      <c r="K4" s="141">
        <v>0.73</v>
      </c>
      <c r="L4" s="141">
        <v>1</v>
      </c>
      <c r="M4" s="141">
        <v>1</v>
      </c>
      <c r="N4" s="141">
        <v>1</v>
      </c>
      <c r="O4" s="141">
        <v>1</v>
      </c>
    </row>
    <row r="5" spans="1:15" x14ac:dyDescent="0.25">
      <c r="B5" s="63" t="s">
        <v>208</v>
      </c>
      <c r="C5" s="141">
        <v>1</v>
      </c>
      <c r="D5" s="141">
        <v>1</v>
      </c>
      <c r="E5" s="141">
        <v>1</v>
      </c>
      <c r="F5" s="141">
        <v>1</v>
      </c>
      <c r="G5" s="141">
        <v>1</v>
      </c>
      <c r="H5" s="141">
        <v>0.73</v>
      </c>
      <c r="I5" s="141">
        <v>0.73</v>
      </c>
      <c r="J5" s="141">
        <v>0.73</v>
      </c>
      <c r="K5" s="141">
        <v>0.73</v>
      </c>
      <c r="L5" s="141">
        <v>1</v>
      </c>
      <c r="M5" s="141">
        <v>1</v>
      </c>
      <c r="N5" s="141">
        <v>1</v>
      </c>
      <c r="O5" s="141">
        <v>1</v>
      </c>
    </row>
    <row r="6" spans="1:15" x14ac:dyDescent="0.25">
      <c r="B6" s="63" t="s">
        <v>189</v>
      </c>
      <c r="C6" s="141">
        <v>1</v>
      </c>
      <c r="D6" s="141">
        <v>1</v>
      </c>
      <c r="E6" s="141">
        <v>1</v>
      </c>
      <c r="F6" s="141">
        <v>1</v>
      </c>
      <c r="G6" s="141">
        <v>1</v>
      </c>
      <c r="H6" s="141">
        <v>0.73</v>
      </c>
      <c r="I6" s="141">
        <v>0.73</v>
      </c>
      <c r="J6" s="141">
        <v>0.73</v>
      </c>
      <c r="K6" s="141">
        <v>0.73</v>
      </c>
      <c r="L6" s="141">
        <v>1</v>
      </c>
      <c r="M6" s="141">
        <v>1</v>
      </c>
      <c r="N6" s="141">
        <v>1</v>
      </c>
      <c r="O6" s="141">
        <v>1</v>
      </c>
    </row>
    <row r="7" spans="1:15" x14ac:dyDescent="0.25">
      <c r="B7" s="63" t="s">
        <v>190</v>
      </c>
      <c r="C7" s="141">
        <v>1</v>
      </c>
      <c r="D7" s="141">
        <v>1</v>
      </c>
      <c r="E7" s="141">
        <v>1</v>
      </c>
      <c r="F7" s="141">
        <v>1</v>
      </c>
      <c r="G7" s="141">
        <v>1</v>
      </c>
      <c r="H7" s="141">
        <v>0.73</v>
      </c>
      <c r="I7" s="141">
        <v>0.73</v>
      </c>
      <c r="J7" s="141">
        <v>0.73</v>
      </c>
      <c r="K7" s="141">
        <v>0.73</v>
      </c>
      <c r="L7" s="141">
        <v>1</v>
      </c>
      <c r="M7" s="141">
        <v>1</v>
      </c>
      <c r="N7" s="141">
        <v>1</v>
      </c>
      <c r="O7" s="141">
        <v>1</v>
      </c>
    </row>
    <row r="8" spans="1:15" x14ac:dyDescent="0.25">
      <c r="B8" s="95" t="s">
        <v>187</v>
      </c>
      <c r="C8" s="141">
        <v>1</v>
      </c>
      <c r="D8" s="141">
        <v>1</v>
      </c>
      <c r="E8" s="141">
        <v>1</v>
      </c>
      <c r="F8" s="141">
        <v>1</v>
      </c>
      <c r="G8" s="141">
        <v>1</v>
      </c>
      <c r="H8" s="141">
        <v>1</v>
      </c>
      <c r="I8" s="141">
        <v>1</v>
      </c>
      <c r="J8" s="141">
        <v>1</v>
      </c>
      <c r="K8" s="141">
        <v>1</v>
      </c>
      <c r="L8" s="141">
        <v>0.33</v>
      </c>
      <c r="M8" s="141">
        <v>0.33</v>
      </c>
      <c r="N8" s="141">
        <v>0.33</v>
      </c>
      <c r="O8" s="141">
        <v>0.33</v>
      </c>
    </row>
    <row r="9" spans="1:15" x14ac:dyDescent="0.25">
      <c r="B9" s="95" t="s">
        <v>209</v>
      </c>
      <c r="C9" s="141">
        <v>1</v>
      </c>
      <c r="D9" s="141">
        <v>1</v>
      </c>
      <c r="E9" s="141">
        <v>1</v>
      </c>
      <c r="F9" s="141">
        <v>1</v>
      </c>
      <c r="G9" s="141">
        <v>1</v>
      </c>
      <c r="H9" s="141">
        <v>1</v>
      </c>
      <c r="I9" s="141">
        <v>1</v>
      </c>
      <c r="J9" s="141">
        <v>1</v>
      </c>
      <c r="K9" s="141">
        <v>1</v>
      </c>
      <c r="L9" s="141">
        <v>0.33</v>
      </c>
      <c r="M9" s="141">
        <v>0.33</v>
      </c>
      <c r="N9" s="141">
        <v>0.33</v>
      </c>
      <c r="O9" s="141">
        <v>0.33</v>
      </c>
    </row>
    <row r="10" spans="1:15" x14ac:dyDescent="0.25">
      <c r="B10" s="63" t="s">
        <v>57</v>
      </c>
      <c r="C10" s="141">
        <v>1</v>
      </c>
      <c r="D10" s="141">
        <v>1</v>
      </c>
      <c r="E10" s="141">
        <v>1</v>
      </c>
      <c r="F10" s="141">
        <v>1</v>
      </c>
      <c r="G10" s="141">
        <v>1</v>
      </c>
      <c r="H10" s="141">
        <v>1</v>
      </c>
      <c r="I10" s="141">
        <v>1</v>
      </c>
      <c r="J10" s="141">
        <v>1</v>
      </c>
      <c r="K10" s="141">
        <v>1</v>
      </c>
      <c r="L10" s="141">
        <v>0.83</v>
      </c>
      <c r="M10" s="141">
        <v>0.83</v>
      </c>
      <c r="N10" s="141">
        <v>0.83</v>
      </c>
      <c r="O10" s="141">
        <v>0.83</v>
      </c>
    </row>
    <row r="11" spans="1:15" x14ac:dyDescent="0.25">
      <c r="B11" s="95" t="s">
        <v>136</v>
      </c>
      <c r="C11" s="141">
        <v>1</v>
      </c>
      <c r="D11" s="141">
        <v>1</v>
      </c>
      <c r="E11" s="141">
        <v>0.69</v>
      </c>
      <c r="F11" s="141">
        <v>0.69</v>
      </c>
      <c r="G11" s="141">
        <v>1</v>
      </c>
      <c r="H11" s="141">
        <v>1</v>
      </c>
      <c r="I11" s="141">
        <v>1</v>
      </c>
      <c r="J11" s="141">
        <v>1</v>
      </c>
      <c r="K11" s="141">
        <v>1</v>
      </c>
      <c r="L11" s="141">
        <v>1</v>
      </c>
      <c r="M11" s="141">
        <v>1</v>
      </c>
      <c r="N11" s="141">
        <v>1</v>
      </c>
      <c r="O11" s="141">
        <v>1</v>
      </c>
    </row>
    <row r="12" spans="1:15" x14ac:dyDescent="0.25">
      <c r="B12" s="63" t="s">
        <v>34</v>
      </c>
      <c r="C12" s="141">
        <v>0.83</v>
      </c>
      <c r="D12" s="141">
        <v>0.83</v>
      </c>
      <c r="E12" s="141">
        <v>0.83</v>
      </c>
      <c r="F12" s="141">
        <v>0.83</v>
      </c>
      <c r="G12" s="141">
        <v>0.83</v>
      </c>
      <c r="H12" s="141">
        <v>0.83</v>
      </c>
      <c r="I12" s="141">
        <v>0.83</v>
      </c>
      <c r="J12" s="141">
        <v>0.83</v>
      </c>
      <c r="K12" s="141">
        <v>0.83</v>
      </c>
      <c r="L12" s="141">
        <v>0.83</v>
      </c>
      <c r="M12" s="141">
        <v>0.83</v>
      </c>
      <c r="N12" s="141">
        <v>0.83</v>
      </c>
      <c r="O12" s="141">
        <v>0.83</v>
      </c>
    </row>
    <row r="13" spans="1:15" ht="13.15" customHeight="1" x14ac:dyDescent="0.25">
      <c r="B13" s="63" t="s">
        <v>137</v>
      </c>
      <c r="C13" s="141">
        <v>1</v>
      </c>
      <c r="D13" s="141">
        <v>1</v>
      </c>
      <c r="E13" s="141">
        <v>0.69</v>
      </c>
      <c r="F13" s="141">
        <v>0.69</v>
      </c>
      <c r="G13" s="141">
        <v>0.69</v>
      </c>
      <c r="H13" s="141">
        <v>1</v>
      </c>
      <c r="I13" s="141">
        <v>1</v>
      </c>
      <c r="J13" s="141">
        <v>1</v>
      </c>
      <c r="K13" s="141">
        <v>1</v>
      </c>
      <c r="L13" s="141">
        <v>1</v>
      </c>
      <c r="M13" s="141">
        <v>1</v>
      </c>
      <c r="N13" s="141">
        <v>1</v>
      </c>
      <c r="O13" s="141">
        <v>1</v>
      </c>
    </row>
    <row r="14" spans="1:15" x14ac:dyDescent="0.25">
      <c r="B14" s="63" t="s">
        <v>59</v>
      </c>
      <c r="C14" s="141">
        <v>1</v>
      </c>
      <c r="D14" s="141">
        <v>1</v>
      </c>
      <c r="E14" s="141">
        <v>1</v>
      </c>
      <c r="F14" s="141">
        <v>1</v>
      </c>
      <c r="G14" s="141">
        <v>1</v>
      </c>
      <c r="H14" s="141">
        <v>1</v>
      </c>
      <c r="I14" s="141">
        <v>1</v>
      </c>
      <c r="J14" s="141">
        <v>1</v>
      </c>
      <c r="K14" s="141">
        <v>1</v>
      </c>
      <c r="L14" s="141">
        <v>0.33</v>
      </c>
      <c r="M14" s="141">
        <v>0.33</v>
      </c>
      <c r="N14" s="141">
        <v>0.33</v>
      </c>
      <c r="O14" s="141">
        <v>0.33</v>
      </c>
    </row>
    <row r="16" spans="1:15" ht="13" x14ac:dyDescent="0.3">
      <c r="A16" s="40" t="s">
        <v>263</v>
      </c>
      <c r="B16" s="63"/>
    </row>
    <row r="17" spans="2:15" x14ac:dyDescent="0.25">
      <c r="B17" s="95" t="s">
        <v>63</v>
      </c>
      <c r="C17" s="141">
        <v>1</v>
      </c>
      <c r="D17" s="141">
        <v>1</v>
      </c>
      <c r="E17" s="141">
        <v>0.97599999999999998</v>
      </c>
      <c r="F17" s="141">
        <v>0.97599999999999998</v>
      </c>
      <c r="G17" s="141">
        <v>0.97599999999999998</v>
      </c>
      <c r="H17" s="141">
        <v>0.97599999999999998</v>
      </c>
      <c r="I17" s="141">
        <v>0.97599999999999998</v>
      </c>
      <c r="J17" s="141">
        <v>0.97599999999999998</v>
      </c>
      <c r="K17" s="141">
        <v>0.97599999999999998</v>
      </c>
      <c r="L17" s="141">
        <v>0.97599999999999998</v>
      </c>
      <c r="M17" s="141">
        <v>0.97599999999999998</v>
      </c>
      <c r="N17" s="141">
        <v>0.97599999999999998</v>
      </c>
      <c r="O17" s="141">
        <v>0.97599999999999998</v>
      </c>
    </row>
    <row r="18" spans="2:15" x14ac:dyDescent="0.25">
      <c r="B18" s="95" t="s">
        <v>64</v>
      </c>
      <c r="C18" s="141">
        <v>1</v>
      </c>
      <c r="D18" s="141">
        <v>1</v>
      </c>
      <c r="E18" s="141">
        <v>0.97599999999999998</v>
      </c>
      <c r="F18" s="141">
        <v>0.97599999999999998</v>
      </c>
      <c r="G18" s="141">
        <v>0.97599999999999998</v>
      </c>
      <c r="H18" s="141">
        <v>0.97599999999999998</v>
      </c>
      <c r="I18" s="141">
        <v>0.97599999999999998</v>
      </c>
      <c r="J18" s="141">
        <v>0.97599999999999998</v>
      </c>
      <c r="K18" s="141">
        <v>0.97599999999999998</v>
      </c>
      <c r="L18" s="141">
        <v>0.97599999999999998</v>
      </c>
      <c r="M18" s="141">
        <v>0.97599999999999998</v>
      </c>
      <c r="N18" s="141">
        <v>0.97599999999999998</v>
      </c>
      <c r="O18" s="141">
        <v>0.97599999999999998</v>
      </c>
    </row>
    <row r="19" spans="2:15" x14ac:dyDescent="0.25">
      <c r="B19" s="95" t="s">
        <v>62</v>
      </c>
      <c r="C19" s="141">
        <v>1</v>
      </c>
      <c r="D19" s="141">
        <v>1</v>
      </c>
      <c r="E19" s="141">
        <v>0.97599999999999998</v>
      </c>
      <c r="F19" s="141">
        <v>0.97599999999999998</v>
      </c>
      <c r="G19" s="141">
        <v>0.97599999999999998</v>
      </c>
      <c r="H19" s="141">
        <v>0.97599999999999998</v>
      </c>
      <c r="I19" s="141">
        <v>0.97599999999999998</v>
      </c>
      <c r="J19" s="141">
        <v>0.97599999999999998</v>
      </c>
      <c r="K19" s="141">
        <v>0.97599999999999998</v>
      </c>
      <c r="L19" s="141">
        <v>0.97599999999999998</v>
      </c>
      <c r="M19" s="141">
        <v>0.97599999999999998</v>
      </c>
      <c r="N19" s="141">
        <v>0.97599999999999998</v>
      </c>
      <c r="O19" s="141">
        <v>0.97599999999999998</v>
      </c>
    </row>
    <row r="20" spans="2:15" x14ac:dyDescent="0.25">
      <c r="B20" s="95" t="s">
        <v>47</v>
      </c>
      <c r="C20" s="141">
        <v>1</v>
      </c>
      <c r="D20" s="141">
        <v>1</v>
      </c>
      <c r="E20" s="141">
        <v>0.97599999999999998</v>
      </c>
      <c r="F20" s="141">
        <v>0.97599999999999998</v>
      </c>
      <c r="G20" s="141">
        <v>0.97599999999999998</v>
      </c>
      <c r="H20" s="141">
        <v>0.97599999999999998</v>
      </c>
      <c r="I20" s="141">
        <v>0.97599999999999998</v>
      </c>
      <c r="J20" s="141">
        <v>0.97599999999999998</v>
      </c>
      <c r="K20" s="141">
        <v>0.97599999999999998</v>
      </c>
      <c r="L20" s="141">
        <v>0.97599999999999998</v>
      </c>
      <c r="M20" s="141">
        <v>0.97599999999999998</v>
      </c>
      <c r="N20" s="141">
        <v>0.97599999999999998</v>
      </c>
      <c r="O20" s="141">
        <v>0.97599999999999998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G5"/>
  <sheetViews>
    <sheetView workbookViewId="0">
      <selection activeCell="D5" sqref="D5:G5"/>
    </sheetView>
  </sheetViews>
  <sheetFormatPr defaultColWidth="12.7265625" defaultRowHeight="12.5" x14ac:dyDescent="0.25"/>
  <cols>
    <col min="1" max="1" width="21.26953125" style="35" customWidth="1"/>
    <col min="2" max="2" width="27.26953125" style="35" customWidth="1"/>
    <col min="3" max="7" width="15.54296875" style="35" customWidth="1"/>
    <col min="8" max="16384" width="12.7265625" style="35"/>
  </cols>
  <sheetData>
    <row r="1" spans="1:7" ht="13" x14ac:dyDescent="0.3">
      <c r="A1" s="40"/>
      <c r="B1" s="124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ht="13" x14ac:dyDescent="0.3">
      <c r="A2" s="40" t="s">
        <v>264</v>
      </c>
    </row>
    <row r="3" spans="1:7" x14ac:dyDescent="0.25">
      <c r="B3" s="63" t="s">
        <v>67</v>
      </c>
      <c r="C3" s="141">
        <v>1</v>
      </c>
      <c r="D3" s="141">
        <v>0.22</v>
      </c>
      <c r="E3" s="141">
        <v>0.22</v>
      </c>
      <c r="F3" s="141">
        <v>0.22</v>
      </c>
      <c r="G3" s="141">
        <v>0.22</v>
      </c>
    </row>
    <row r="4" spans="1:7" ht="13" x14ac:dyDescent="0.3">
      <c r="A4" s="40" t="s">
        <v>265</v>
      </c>
      <c r="B4" s="63"/>
      <c r="C4" s="132"/>
      <c r="D4" s="132"/>
      <c r="E4" s="132"/>
      <c r="F4" s="132"/>
      <c r="G4" s="132"/>
    </row>
    <row r="5" spans="1:7" x14ac:dyDescent="0.25">
      <c r="B5" s="95" t="s">
        <v>183</v>
      </c>
      <c r="C5" s="141">
        <v>1</v>
      </c>
      <c r="D5" s="141">
        <v>0.16</v>
      </c>
      <c r="E5" s="141">
        <v>0.16</v>
      </c>
      <c r="F5" s="141">
        <v>0.16</v>
      </c>
      <c r="G5" s="141">
        <v>0.16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I49"/>
  <sheetViews>
    <sheetView topLeftCell="C11" zoomScale="111" workbookViewId="0">
      <selection activeCell="E43" sqref="E43"/>
    </sheetView>
  </sheetViews>
  <sheetFormatPr defaultColWidth="12.7265625" defaultRowHeight="12.5" x14ac:dyDescent="0.25"/>
  <cols>
    <col min="1" max="1" width="53" style="52" customWidth="1"/>
    <col min="2" max="2" width="30.54296875" style="52" customWidth="1"/>
    <col min="3" max="3" width="24.7265625" style="52" customWidth="1"/>
    <col min="4" max="4" width="15" style="35" customWidth="1"/>
    <col min="5" max="5" width="13.7265625" style="35" customWidth="1"/>
    <col min="6" max="6" width="14.453125" style="35" customWidth="1"/>
    <col min="7" max="7" width="12.7265625" style="35"/>
    <col min="8" max="8" width="17.54296875" style="35" customWidth="1"/>
    <col min="9" max="16384" width="12.7265625" style="35"/>
  </cols>
  <sheetData>
    <row r="1" spans="1:9" ht="13" x14ac:dyDescent="0.3">
      <c r="A1" s="40" t="s">
        <v>69</v>
      </c>
      <c r="B1" s="40" t="s">
        <v>266</v>
      </c>
      <c r="C1" s="130" t="s">
        <v>267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268</v>
      </c>
      <c r="D2" s="141">
        <v>0</v>
      </c>
      <c r="E2" s="141">
        <v>0</v>
      </c>
      <c r="F2" s="141">
        <v>0.33500000000000002</v>
      </c>
      <c r="G2" s="141">
        <v>0.33500000000000002</v>
      </c>
      <c r="H2" s="141">
        <v>0.33500000000000002</v>
      </c>
    </row>
    <row r="3" spans="1:9" x14ac:dyDescent="0.25">
      <c r="C3" s="52" t="s">
        <v>269</v>
      </c>
      <c r="D3" s="141">
        <v>0</v>
      </c>
      <c r="E3" s="141">
        <v>0</v>
      </c>
      <c r="F3" s="141">
        <v>0.36</v>
      </c>
      <c r="G3" s="141">
        <v>0.36</v>
      </c>
      <c r="H3" s="141">
        <v>0.36</v>
      </c>
    </row>
    <row r="4" spans="1:9" x14ac:dyDescent="0.25">
      <c r="C4" s="52" t="s">
        <v>270</v>
      </c>
      <c r="D4" s="141">
        <v>0</v>
      </c>
      <c r="E4" s="141">
        <v>0</v>
      </c>
      <c r="F4" s="141">
        <v>0.45</v>
      </c>
      <c r="G4" s="141">
        <v>0.45</v>
      </c>
      <c r="H4" s="141">
        <v>0.45</v>
      </c>
    </row>
    <row r="5" spans="1:9" x14ac:dyDescent="0.25">
      <c r="A5" s="52" t="s">
        <v>58</v>
      </c>
      <c r="B5" s="52" t="s">
        <v>66</v>
      </c>
      <c r="C5" s="52" t="s">
        <v>268</v>
      </c>
      <c r="D5" s="141">
        <v>0</v>
      </c>
      <c r="E5" s="141">
        <v>0</v>
      </c>
      <c r="F5" s="141">
        <v>0.33500000000000002</v>
      </c>
      <c r="G5" s="141">
        <v>0.33500000000000002</v>
      </c>
      <c r="H5" s="141">
        <v>0.33500000000000002</v>
      </c>
    </row>
    <row r="6" spans="1:9" x14ac:dyDescent="0.25">
      <c r="C6" s="52" t="s">
        <v>270</v>
      </c>
      <c r="D6" s="141">
        <v>0</v>
      </c>
      <c r="E6" s="141">
        <v>0</v>
      </c>
      <c r="F6" s="141">
        <v>0.25970149253731345</v>
      </c>
      <c r="G6" s="141">
        <v>0.25970149253731345</v>
      </c>
      <c r="H6" s="141">
        <v>0</v>
      </c>
    </row>
    <row r="7" spans="1:9" x14ac:dyDescent="0.25">
      <c r="B7" s="52" t="s">
        <v>65</v>
      </c>
      <c r="C7" s="52" t="s">
        <v>268</v>
      </c>
      <c r="D7" s="141">
        <v>0</v>
      </c>
      <c r="E7" s="141">
        <v>0</v>
      </c>
      <c r="F7" s="141">
        <v>0.33500000000000002</v>
      </c>
      <c r="G7" s="141">
        <v>0.33500000000000002</v>
      </c>
      <c r="H7" s="141">
        <v>0.33500000000000002</v>
      </c>
    </row>
    <row r="8" spans="1:9" x14ac:dyDescent="0.25">
      <c r="C8" s="52" t="s">
        <v>270</v>
      </c>
      <c r="D8" s="141">
        <v>0</v>
      </c>
      <c r="E8" s="141">
        <v>0</v>
      </c>
      <c r="F8" s="141">
        <v>0.25970149253731345</v>
      </c>
      <c r="G8" s="141">
        <v>0.25970149253731345</v>
      </c>
      <c r="H8" s="141">
        <v>0</v>
      </c>
    </row>
    <row r="9" spans="1:9" x14ac:dyDescent="0.25">
      <c r="A9" s="52" t="s">
        <v>136</v>
      </c>
      <c r="B9" s="52" t="s">
        <v>66</v>
      </c>
      <c r="C9" s="52" t="s">
        <v>268</v>
      </c>
      <c r="D9" s="141">
        <v>0</v>
      </c>
      <c r="E9" s="141">
        <v>0</v>
      </c>
      <c r="F9" s="141">
        <v>0.33500000000000002</v>
      </c>
      <c r="G9" s="141">
        <v>0.33500000000000002</v>
      </c>
      <c r="H9" s="141">
        <v>0.33500000000000002</v>
      </c>
    </row>
    <row r="10" spans="1:9" x14ac:dyDescent="0.25">
      <c r="C10" s="52" t="s">
        <v>270</v>
      </c>
      <c r="D10" s="141">
        <v>0</v>
      </c>
      <c r="E10" s="141">
        <v>0</v>
      </c>
      <c r="F10" s="141">
        <v>0.25970149253731345</v>
      </c>
      <c r="G10" s="141">
        <v>0.25970149253731345</v>
      </c>
      <c r="H10" s="141">
        <v>0</v>
      </c>
    </row>
    <row r="11" spans="1:9" x14ac:dyDescent="0.25">
      <c r="B11" s="52" t="s">
        <v>65</v>
      </c>
      <c r="C11" s="52" t="s">
        <v>268</v>
      </c>
      <c r="D11" s="141">
        <v>0</v>
      </c>
      <c r="E11" s="141">
        <v>0</v>
      </c>
      <c r="F11" s="141">
        <v>0.33500000000000002</v>
      </c>
      <c r="G11" s="141">
        <v>0.33500000000000002</v>
      </c>
      <c r="H11" s="141">
        <v>0.33500000000000002</v>
      </c>
    </row>
    <row r="12" spans="1:9" x14ac:dyDescent="0.25">
      <c r="C12" s="52" t="s">
        <v>270</v>
      </c>
      <c r="D12" s="141">
        <v>0</v>
      </c>
      <c r="E12" s="141">
        <v>0</v>
      </c>
      <c r="F12" s="141">
        <v>0.25970149253731345</v>
      </c>
      <c r="G12" s="141">
        <v>0.25970149253731345</v>
      </c>
      <c r="H12" s="141">
        <v>0</v>
      </c>
    </row>
    <row r="13" spans="1:9" x14ac:dyDescent="0.25">
      <c r="A13" s="52" t="s">
        <v>61</v>
      </c>
      <c r="B13" s="52" t="s">
        <v>66</v>
      </c>
      <c r="C13" s="52" t="s">
        <v>268</v>
      </c>
      <c r="D13" s="141">
        <v>0</v>
      </c>
      <c r="E13" s="141">
        <v>0</v>
      </c>
      <c r="F13" s="141">
        <v>0.8</v>
      </c>
      <c r="G13" s="141">
        <v>0.8</v>
      </c>
      <c r="H13" s="141">
        <v>0.8</v>
      </c>
    </row>
    <row r="14" spans="1:9" x14ac:dyDescent="0.25">
      <c r="C14" s="52" t="s">
        <v>270</v>
      </c>
      <c r="D14" s="141">
        <v>0</v>
      </c>
      <c r="E14" s="141">
        <v>0</v>
      </c>
      <c r="F14" s="141">
        <v>0.85</v>
      </c>
      <c r="G14" s="141">
        <v>0.85</v>
      </c>
      <c r="H14" s="141">
        <v>0.85</v>
      </c>
      <c r="I14" s="36"/>
    </row>
    <row r="15" spans="1:9" x14ac:dyDescent="0.25">
      <c r="B15" s="52" t="s">
        <v>65</v>
      </c>
      <c r="C15" s="52" t="s">
        <v>268</v>
      </c>
      <c r="D15" s="141">
        <v>0</v>
      </c>
      <c r="E15" s="141">
        <v>0</v>
      </c>
      <c r="F15" s="141">
        <v>0.8</v>
      </c>
      <c r="G15" s="141">
        <v>0.8</v>
      </c>
      <c r="H15" s="141">
        <v>0.8</v>
      </c>
      <c r="I15" s="36"/>
    </row>
    <row r="16" spans="1:9" x14ac:dyDescent="0.25">
      <c r="C16" s="52" t="s">
        <v>270</v>
      </c>
      <c r="D16" s="141">
        <v>0</v>
      </c>
      <c r="E16" s="141">
        <v>0</v>
      </c>
      <c r="F16" s="141">
        <v>0.75</v>
      </c>
      <c r="G16" s="141">
        <v>0.75</v>
      </c>
      <c r="H16" s="141">
        <v>0.75</v>
      </c>
      <c r="I16" s="36"/>
    </row>
    <row r="17" spans="1:9" x14ac:dyDescent="0.25">
      <c r="A17" s="52" t="s">
        <v>62</v>
      </c>
      <c r="B17" s="52" t="s">
        <v>27</v>
      </c>
      <c r="C17" s="52" t="s">
        <v>268</v>
      </c>
      <c r="D17" s="141">
        <v>0.7</v>
      </c>
      <c r="E17" s="141">
        <v>0</v>
      </c>
      <c r="F17" s="141">
        <v>0</v>
      </c>
      <c r="G17" s="141">
        <v>0</v>
      </c>
      <c r="H17" s="141">
        <v>0</v>
      </c>
      <c r="I17" s="36"/>
    </row>
    <row r="18" spans="1:9" x14ac:dyDescent="0.25">
      <c r="C18" s="52" t="s">
        <v>269</v>
      </c>
      <c r="D18" s="141">
        <v>0.19</v>
      </c>
      <c r="E18" s="141">
        <v>0</v>
      </c>
      <c r="F18" s="141">
        <v>0</v>
      </c>
      <c r="G18" s="141">
        <v>0</v>
      </c>
      <c r="H18" s="141">
        <v>0</v>
      </c>
      <c r="I18" s="36"/>
    </row>
    <row r="19" spans="1:9" x14ac:dyDescent="0.25">
      <c r="A19" s="52" t="s">
        <v>63</v>
      </c>
      <c r="B19" s="52" t="s">
        <v>27</v>
      </c>
      <c r="C19" s="52" t="s">
        <v>268</v>
      </c>
      <c r="D19" s="141">
        <v>0.7</v>
      </c>
      <c r="E19" s="141">
        <v>0</v>
      </c>
      <c r="F19" s="141">
        <v>0</v>
      </c>
      <c r="G19" s="141">
        <v>0</v>
      </c>
      <c r="H19" s="141">
        <v>0</v>
      </c>
    </row>
    <row r="20" spans="1:9" x14ac:dyDescent="0.25">
      <c r="C20" s="52" t="s">
        <v>269</v>
      </c>
      <c r="D20" s="141">
        <v>0.19</v>
      </c>
      <c r="E20" s="141">
        <v>0</v>
      </c>
      <c r="F20" s="141">
        <v>0</v>
      </c>
      <c r="G20" s="141">
        <v>0</v>
      </c>
      <c r="H20" s="141">
        <v>0</v>
      </c>
    </row>
    <row r="21" spans="1:9" x14ac:dyDescent="0.25">
      <c r="A21" s="52" t="s">
        <v>64</v>
      </c>
      <c r="B21" s="52" t="s">
        <v>27</v>
      </c>
      <c r="C21" s="52" t="s">
        <v>268</v>
      </c>
      <c r="D21" s="141">
        <v>0.7</v>
      </c>
      <c r="E21" s="141">
        <v>0</v>
      </c>
      <c r="F21" s="141">
        <v>0</v>
      </c>
      <c r="G21" s="141">
        <v>0</v>
      </c>
      <c r="H21" s="141">
        <v>0</v>
      </c>
    </row>
    <row r="22" spans="1:9" x14ac:dyDescent="0.25">
      <c r="C22" s="52" t="s">
        <v>269</v>
      </c>
      <c r="D22" s="141">
        <v>0.19</v>
      </c>
      <c r="E22" s="141">
        <v>0</v>
      </c>
      <c r="F22" s="141">
        <v>0</v>
      </c>
      <c r="G22" s="141">
        <v>0</v>
      </c>
      <c r="H22" s="141">
        <v>0</v>
      </c>
    </row>
    <row r="23" spans="1:9" x14ac:dyDescent="0.25">
      <c r="A23" s="52" t="s">
        <v>79</v>
      </c>
      <c r="B23" s="52" t="s">
        <v>71</v>
      </c>
      <c r="C23" s="52" t="s">
        <v>268</v>
      </c>
      <c r="D23" s="141">
        <v>1</v>
      </c>
      <c r="E23" s="141">
        <v>1</v>
      </c>
      <c r="F23" s="141">
        <v>1</v>
      </c>
      <c r="G23" s="141">
        <v>1</v>
      </c>
      <c r="H23" s="141">
        <v>1</v>
      </c>
    </row>
    <row r="24" spans="1:9" x14ac:dyDescent="0.25">
      <c r="C24" s="52" t="s">
        <v>269</v>
      </c>
      <c r="D24" s="141">
        <v>0</v>
      </c>
      <c r="E24" s="141">
        <v>0</v>
      </c>
      <c r="F24" s="141">
        <v>0</v>
      </c>
      <c r="G24" s="141">
        <v>0</v>
      </c>
      <c r="H24" s="141">
        <v>0</v>
      </c>
    </row>
    <row r="25" spans="1:9" x14ac:dyDescent="0.25">
      <c r="C25" s="52" t="s">
        <v>270</v>
      </c>
      <c r="D25" s="141">
        <v>0</v>
      </c>
      <c r="E25" s="141">
        <v>0</v>
      </c>
      <c r="F25" s="141">
        <v>0</v>
      </c>
      <c r="G25" s="141">
        <v>0</v>
      </c>
      <c r="H25" s="141">
        <v>0</v>
      </c>
    </row>
    <row r="26" spans="1:9" x14ac:dyDescent="0.25">
      <c r="A26" s="52" t="s">
        <v>80</v>
      </c>
      <c r="B26" s="52" t="s">
        <v>71</v>
      </c>
      <c r="C26" s="52" t="s">
        <v>268</v>
      </c>
      <c r="D26" s="141">
        <v>1</v>
      </c>
      <c r="E26" s="141">
        <v>1</v>
      </c>
      <c r="F26" s="141">
        <v>1</v>
      </c>
      <c r="G26" s="141">
        <v>1</v>
      </c>
      <c r="H26" s="141">
        <v>1</v>
      </c>
    </row>
    <row r="27" spans="1:9" x14ac:dyDescent="0.25">
      <c r="C27" s="52" t="s">
        <v>269</v>
      </c>
      <c r="D27" s="141">
        <v>0</v>
      </c>
      <c r="E27" s="141">
        <v>0</v>
      </c>
      <c r="F27" s="141">
        <v>0</v>
      </c>
      <c r="G27" s="141">
        <v>0</v>
      </c>
      <c r="H27" s="141">
        <v>0</v>
      </c>
    </row>
    <row r="28" spans="1:9" x14ac:dyDescent="0.25">
      <c r="C28" s="52" t="s">
        <v>270</v>
      </c>
      <c r="D28" s="141">
        <v>0</v>
      </c>
      <c r="E28" s="141">
        <v>0</v>
      </c>
      <c r="F28" s="141">
        <v>0</v>
      </c>
      <c r="G28" s="141">
        <v>0</v>
      </c>
      <c r="H28" s="141">
        <v>0</v>
      </c>
    </row>
    <row r="29" spans="1:9" x14ac:dyDescent="0.25">
      <c r="A29" s="52" t="s">
        <v>81</v>
      </c>
      <c r="B29" s="52" t="s">
        <v>71</v>
      </c>
      <c r="C29" s="52" t="s">
        <v>268</v>
      </c>
      <c r="D29" s="141">
        <v>1</v>
      </c>
      <c r="E29" s="141">
        <v>1</v>
      </c>
      <c r="F29" s="141">
        <v>1</v>
      </c>
      <c r="G29" s="141">
        <v>1</v>
      </c>
      <c r="H29" s="141">
        <v>1</v>
      </c>
    </row>
    <row r="30" spans="1:9" x14ac:dyDescent="0.25">
      <c r="C30" s="52" t="s">
        <v>269</v>
      </c>
      <c r="D30" s="141">
        <v>0</v>
      </c>
      <c r="E30" s="141">
        <v>0</v>
      </c>
      <c r="F30" s="141">
        <v>0</v>
      </c>
      <c r="G30" s="141">
        <v>0</v>
      </c>
      <c r="H30" s="141">
        <v>0</v>
      </c>
    </row>
    <row r="31" spans="1:9" x14ac:dyDescent="0.25">
      <c r="C31" s="52" t="s">
        <v>270</v>
      </c>
      <c r="D31" s="141">
        <v>0</v>
      </c>
      <c r="E31" s="141">
        <v>0</v>
      </c>
      <c r="F31" s="141">
        <v>0</v>
      </c>
      <c r="G31" s="141">
        <v>0</v>
      </c>
      <c r="H31" s="141">
        <v>0</v>
      </c>
    </row>
    <row r="32" spans="1:9" x14ac:dyDescent="0.25">
      <c r="A32" s="52" t="s">
        <v>82</v>
      </c>
      <c r="B32" s="52" t="s">
        <v>71</v>
      </c>
      <c r="C32" s="52" t="s">
        <v>268</v>
      </c>
      <c r="D32" s="141">
        <v>1</v>
      </c>
      <c r="E32" s="141">
        <v>1</v>
      </c>
      <c r="F32" s="141">
        <v>1</v>
      </c>
      <c r="G32" s="141">
        <v>1</v>
      </c>
      <c r="H32" s="141">
        <v>1</v>
      </c>
    </row>
    <row r="33" spans="1:8" x14ac:dyDescent="0.25">
      <c r="C33" s="52" t="s">
        <v>269</v>
      </c>
      <c r="D33" s="141">
        <v>0</v>
      </c>
      <c r="E33" s="141">
        <v>0</v>
      </c>
      <c r="F33" s="141">
        <v>0</v>
      </c>
      <c r="G33" s="141">
        <v>0</v>
      </c>
      <c r="H33" s="141">
        <v>0</v>
      </c>
    </row>
    <row r="34" spans="1:8" x14ac:dyDescent="0.25">
      <c r="C34" s="52" t="s">
        <v>270</v>
      </c>
      <c r="D34" s="141">
        <v>0</v>
      </c>
      <c r="E34" s="141">
        <v>0</v>
      </c>
      <c r="F34" s="141">
        <v>0</v>
      </c>
      <c r="G34" s="141">
        <v>0</v>
      </c>
      <c r="H34" s="141">
        <v>0</v>
      </c>
    </row>
    <row r="35" spans="1:8" x14ac:dyDescent="0.25">
      <c r="A35" s="52" t="s">
        <v>83</v>
      </c>
      <c r="B35" s="52" t="s">
        <v>71</v>
      </c>
      <c r="C35" s="52" t="s">
        <v>268</v>
      </c>
      <c r="D35" s="141">
        <v>1</v>
      </c>
      <c r="E35" s="141">
        <v>1</v>
      </c>
      <c r="F35" s="141">
        <v>1</v>
      </c>
      <c r="G35" s="141">
        <v>1</v>
      </c>
      <c r="H35" s="141">
        <v>1</v>
      </c>
    </row>
    <row r="36" spans="1:8" x14ac:dyDescent="0.25">
      <c r="C36" s="52" t="s">
        <v>269</v>
      </c>
      <c r="D36" s="141">
        <v>0</v>
      </c>
      <c r="E36" s="141">
        <v>0</v>
      </c>
      <c r="F36" s="141">
        <v>0</v>
      </c>
      <c r="G36" s="141">
        <v>0</v>
      </c>
      <c r="H36" s="141">
        <v>0</v>
      </c>
    </row>
    <row r="37" spans="1:8" x14ac:dyDescent="0.25">
      <c r="C37" s="52" t="s">
        <v>270</v>
      </c>
      <c r="D37" s="141">
        <v>0</v>
      </c>
      <c r="E37" s="141">
        <v>0</v>
      </c>
      <c r="F37" s="141">
        <v>0</v>
      </c>
      <c r="G37" s="141">
        <v>0</v>
      </c>
      <c r="H37" s="141">
        <v>0</v>
      </c>
    </row>
    <row r="38" spans="1:8" x14ac:dyDescent="0.25">
      <c r="A38" s="52" t="s">
        <v>60</v>
      </c>
      <c r="B38" s="52" t="s">
        <v>71</v>
      </c>
      <c r="C38" s="52" t="s">
        <v>268</v>
      </c>
      <c r="D38" s="141">
        <v>0.3</v>
      </c>
      <c r="E38" s="141">
        <v>0.3</v>
      </c>
      <c r="F38" s="141">
        <v>0.3</v>
      </c>
      <c r="G38" s="141">
        <v>0.3</v>
      </c>
      <c r="H38" s="141">
        <v>0.3</v>
      </c>
    </row>
    <row r="39" spans="1:8" x14ac:dyDescent="0.25">
      <c r="C39" s="52" t="s">
        <v>269</v>
      </c>
      <c r="D39" s="141">
        <v>0.5</v>
      </c>
      <c r="E39" s="141">
        <v>0.5</v>
      </c>
      <c r="F39" s="141">
        <v>0.5</v>
      </c>
      <c r="G39" s="141">
        <v>0.5</v>
      </c>
      <c r="H39" s="141">
        <v>0.5</v>
      </c>
    </row>
    <row r="40" spans="1:8" x14ac:dyDescent="0.25">
      <c r="C40" s="52" t="s">
        <v>270</v>
      </c>
      <c r="D40" s="141">
        <v>0.65</v>
      </c>
      <c r="E40" s="141">
        <v>0.65</v>
      </c>
      <c r="F40" s="141">
        <v>0.65</v>
      </c>
      <c r="G40" s="141">
        <v>0.65</v>
      </c>
      <c r="H40" s="141">
        <v>0.65</v>
      </c>
    </row>
    <row r="41" spans="1:8" x14ac:dyDescent="0.25">
      <c r="B41" s="52" t="s">
        <v>16</v>
      </c>
      <c r="C41" s="52" t="s">
        <v>268</v>
      </c>
      <c r="D41" s="141">
        <v>0.3</v>
      </c>
      <c r="E41" s="141">
        <v>0.3</v>
      </c>
      <c r="F41" s="141">
        <v>0.3</v>
      </c>
      <c r="G41" s="141">
        <v>0.3</v>
      </c>
      <c r="H41" s="141">
        <v>0.3</v>
      </c>
    </row>
    <row r="42" spans="1:8" x14ac:dyDescent="0.25">
      <c r="C42" s="52" t="s">
        <v>269</v>
      </c>
      <c r="D42" s="141">
        <v>0.5</v>
      </c>
      <c r="E42" s="141">
        <v>0.5</v>
      </c>
      <c r="F42" s="141">
        <v>0.5</v>
      </c>
      <c r="G42" s="141">
        <v>0.5</v>
      </c>
      <c r="H42" s="141">
        <v>0.5</v>
      </c>
    </row>
    <row r="43" spans="1:8" x14ac:dyDescent="0.25">
      <c r="C43" s="52" t="s">
        <v>270</v>
      </c>
      <c r="D43" s="141">
        <v>0.63</v>
      </c>
      <c r="E43" s="141">
        <v>0.63</v>
      </c>
      <c r="F43" s="141">
        <v>0.63</v>
      </c>
      <c r="G43" s="141">
        <v>0.63</v>
      </c>
      <c r="H43" s="141">
        <v>0.63</v>
      </c>
    </row>
    <row r="44" spans="1:8" x14ac:dyDescent="0.25">
      <c r="A44" s="52" t="s">
        <v>84</v>
      </c>
      <c r="B44" s="52" t="s">
        <v>71</v>
      </c>
      <c r="C44" s="52" t="s">
        <v>268</v>
      </c>
      <c r="D44" s="141">
        <v>0.88</v>
      </c>
      <c r="E44" s="141">
        <v>0.88</v>
      </c>
      <c r="F44" s="141">
        <v>0.88</v>
      </c>
      <c r="G44" s="141">
        <v>0.88</v>
      </c>
      <c r="H44" s="141">
        <v>0.88</v>
      </c>
    </row>
    <row r="45" spans="1:8" x14ac:dyDescent="0.25">
      <c r="C45" s="52" t="s">
        <v>269</v>
      </c>
      <c r="D45" s="141">
        <v>0.8</v>
      </c>
      <c r="E45" s="141">
        <v>0.8</v>
      </c>
      <c r="F45" s="141">
        <v>0.8</v>
      </c>
      <c r="G45" s="141">
        <v>0.8</v>
      </c>
      <c r="H45" s="141">
        <v>0.8</v>
      </c>
    </row>
    <row r="46" spans="1:8" x14ac:dyDescent="0.25">
      <c r="A46" s="52" t="s">
        <v>85</v>
      </c>
      <c r="B46" s="52" t="s">
        <v>71</v>
      </c>
      <c r="C46" s="52" t="s">
        <v>268</v>
      </c>
      <c r="D46" s="141">
        <v>1</v>
      </c>
      <c r="E46" s="141">
        <v>1</v>
      </c>
      <c r="F46" s="141">
        <v>1</v>
      </c>
      <c r="G46" s="141">
        <v>1</v>
      </c>
      <c r="H46" s="141">
        <v>1</v>
      </c>
    </row>
    <row r="47" spans="1:8" x14ac:dyDescent="0.25">
      <c r="C47" s="52" t="s">
        <v>269</v>
      </c>
      <c r="D47" s="141">
        <v>0.76</v>
      </c>
      <c r="E47" s="141">
        <v>0.76</v>
      </c>
      <c r="F47" s="141">
        <v>0.76</v>
      </c>
      <c r="G47" s="141">
        <v>0.76</v>
      </c>
      <c r="H47" s="141">
        <v>0.76</v>
      </c>
    </row>
    <row r="48" spans="1:8" x14ac:dyDescent="0.25">
      <c r="A48" s="52" t="s">
        <v>196</v>
      </c>
      <c r="B48" s="52" t="s">
        <v>13</v>
      </c>
      <c r="C48" s="52" t="s">
        <v>268</v>
      </c>
      <c r="D48" s="141">
        <v>0.57999999999999996</v>
      </c>
      <c r="E48" s="141">
        <v>0</v>
      </c>
      <c r="F48" s="141">
        <v>0</v>
      </c>
      <c r="G48" s="141">
        <v>0</v>
      </c>
      <c r="H48" s="141">
        <v>0</v>
      </c>
    </row>
    <row r="49" spans="3:8" x14ac:dyDescent="0.25">
      <c r="C49" s="52" t="s">
        <v>269</v>
      </c>
      <c r="D49" s="141">
        <v>0.88</v>
      </c>
      <c r="E49" s="141">
        <v>0</v>
      </c>
      <c r="F49" s="141">
        <v>0</v>
      </c>
      <c r="G49" s="141">
        <v>0</v>
      </c>
      <c r="H49" s="141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>
    <tabColor theme="0" tint="-0.249977111117893"/>
  </sheetPr>
  <dimension ref="A1:H7"/>
  <sheetViews>
    <sheetView topLeftCell="C1" workbookViewId="0">
      <selection activeCell="D7" sqref="D7:G7"/>
    </sheetView>
  </sheetViews>
  <sheetFormatPr defaultColWidth="12.7265625" defaultRowHeight="12.5" x14ac:dyDescent="0.25"/>
  <cols>
    <col min="1" max="1" width="28" style="35" customWidth="1"/>
    <col min="2" max="2" width="27.453125" style="35" customWidth="1"/>
    <col min="3" max="3" width="23.7265625" style="35" customWidth="1"/>
    <col min="4" max="7" width="17.26953125" style="35" customWidth="1"/>
    <col min="8" max="16384" width="12.7265625" style="35"/>
  </cols>
  <sheetData>
    <row r="1" spans="1:8" ht="13" x14ac:dyDescent="0.3">
      <c r="A1" s="124" t="s">
        <v>69</v>
      </c>
      <c r="B1" s="124" t="s">
        <v>266</v>
      </c>
      <c r="C1" s="124"/>
      <c r="D1" s="40" t="s">
        <v>53</v>
      </c>
      <c r="E1" s="40" t="s">
        <v>54</v>
      </c>
      <c r="F1" s="40" t="s">
        <v>55</v>
      </c>
      <c r="G1" s="40" t="s">
        <v>56</v>
      </c>
      <c r="H1" s="99"/>
    </row>
    <row r="2" spans="1:8" x14ac:dyDescent="0.25">
      <c r="A2" s="43" t="s">
        <v>86</v>
      </c>
      <c r="B2" s="35" t="s">
        <v>41</v>
      </c>
      <c r="C2" s="43" t="s">
        <v>268</v>
      </c>
      <c r="D2" s="141">
        <v>1</v>
      </c>
      <c r="E2" s="141">
        <v>1</v>
      </c>
      <c r="F2" s="141">
        <v>1</v>
      </c>
      <c r="G2" s="141">
        <v>1</v>
      </c>
      <c r="H2" s="95"/>
    </row>
    <row r="3" spans="1:8" x14ac:dyDescent="0.25">
      <c r="C3" s="35" t="s">
        <v>269</v>
      </c>
      <c r="D3" s="141">
        <v>0.2</v>
      </c>
      <c r="E3" s="141">
        <v>0.2</v>
      </c>
      <c r="F3" s="141">
        <v>0.2</v>
      </c>
      <c r="G3" s="141">
        <v>0.2</v>
      </c>
      <c r="H3" s="133"/>
    </row>
    <row r="4" spans="1:8" x14ac:dyDescent="0.25">
      <c r="A4" s="43" t="s">
        <v>87</v>
      </c>
      <c r="B4" s="35" t="s">
        <v>41</v>
      </c>
      <c r="C4" s="43" t="s">
        <v>268</v>
      </c>
      <c r="D4" s="141">
        <v>1</v>
      </c>
      <c r="E4" s="141">
        <v>1</v>
      </c>
      <c r="F4" s="141">
        <v>1</v>
      </c>
      <c r="G4" s="141">
        <v>1</v>
      </c>
      <c r="H4" s="133"/>
    </row>
    <row r="5" spans="1:8" x14ac:dyDescent="0.25">
      <c r="A5" s="36"/>
      <c r="C5" s="35" t="s">
        <v>269</v>
      </c>
      <c r="D5" s="141">
        <v>0.59</v>
      </c>
      <c r="E5" s="141">
        <v>0.59</v>
      </c>
      <c r="F5" s="141">
        <v>0.59</v>
      </c>
      <c r="G5" s="141">
        <v>0.59</v>
      </c>
      <c r="H5" s="95"/>
    </row>
    <row r="6" spans="1:8" x14ac:dyDescent="0.25">
      <c r="A6" s="43" t="s">
        <v>88</v>
      </c>
      <c r="B6" s="35" t="s">
        <v>41</v>
      </c>
      <c r="C6" s="43" t="s">
        <v>268</v>
      </c>
      <c r="D6" s="141">
        <v>1</v>
      </c>
      <c r="E6" s="141">
        <v>1</v>
      </c>
      <c r="F6" s="141">
        <v>1</v>
      </c>
      <c r="G6" s="141">
        <v>1</v>
      </c>
      <c r="H6" s="95"/>
    </row>
    <row r="7" spans="1:8" x14ac:dyDescent="0.25">
      <c r="A7" s="36"/>
      <c r="C7" s="35" t="s">
        <v>269</v>
      </c>
      <c r="D7" s="141">
        <v>0.59</v>
      </c>
      <c r="E7" s="141">
        <v>0.59</v>
      </c>
      <c r="F7" s="141">
        <v>0.59</v>
      </c>
      <c r="G7" s="141">
        <v>0.59</v>
      </c>
      <c r="H7" s="133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14" sqref="C14"/>
    </sheetView>
  </sheetViews>
  <sheetFormatPr defaultColWidth="14.453125" defaultRowHeight="15.75" customHeight="1" x14ac:dyDescent="0.25"/>
  <cols>
    <col min="1" max="1" width="16.1796875" customWidth="1"/>
    <col min="2" max="2" width="31.26953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(2017) attributable to cause</v>
      </c>
      <c r="B1" s="41"/>
      <c r="C1" s="41"/>
      <c r="D1" s="41"/>
      <c r="E1" s="41"/>
      <c r="F1" s="41"/>
    </row>
    <row r="2" spans="1:8" ht="27.75" customHeight="1" x14ac:dyDescent="0.3">
      <c r="A2" t="s">
        <v>211</v>
      </c>
      <c r="B2" s="41" t="s">
        <v>212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9">
        <v>0.10084801800000001</v>
      </c>
    </row>
    <row r="4" spans="1:8" ht="15.75" customHeight="1" x14ac:dyDescent="0.25">
      <c r="B4" s="24" t="s">
        <v>7</v>
      </c>
      <c r="C4" s="79">
        <v>9.9971130745296677E-2</v>
      </c>
    </row>
    <row r="5" spans="1:8" ht="15.75" customHeight="1" x14ac:dyDescent="0.25">
      <c r="B5" s="24" t="s">
        <v>8</v>
      </c>
      <c r="C5" s="79">
        <v>0.15167932091449388</v>
      </c>
    </row>
    <row r="6" spans="1:8" ht="15.75" customHeight="1" x14ac:dyDescent="0.25">
      <c r="B6" s="24" t="s">
        <v>10</v>
      </c>
      <c r="C6" s="79">
        <v>0.10283220910112403</v>
      </c>
    </row>
    <row r="7" spans="1:8" ht="15.75" customHeight="1" x14ac:dyDescent="0.25">
      <c r="B7" s="24" t="s">
        <v>13</v>
      </c>
      <c r="C7" s="79">
        <v>0.12259709899604329</v>
      </c>
    </row>
    <row r="8" spans="1:8" ht="15.75" customHeight="1" x14ac:dyDescent="0.25">
      <c r="B8" s="24" t="s">
        <v>14</v>
      </c>
      <c r="C8" s="79">
        <v>1.2589017564511886E-2</v>
      </c>
    </row>
    <row r="9" spans="1:8" ht="15.75" customHeight="1" x14ac:dyDescent="0.25">
      <c r="B9" s="24" t="s">
        <v>27</v>
      </c>
      <c r="C9" s="79">
        <v>9.3698441393858009E-2</v>
      </c>
    </row>
    <row r="10" spans="1:8" ht="15.75" customHeight="1" x14ac:dyDescent="0.25">
      <c r="B10" s="24" t="s">
        <v>15</v>
      </c>
      <c r="C10" s="79">
        <v>0.3157847632846722</v>
      </c>
    </row>
    <row r="11" spans="1:8" ht="15.75" customHeight="1" x14ac:dyDescent="0.25">
      <c r="B11" s="32" t="s">
        <v>129</v>
      </c>
      <c r="C11" s="74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3">
      <c r="A13" s="12" t="s">
        <v>31</v>
      </c>
      <c r="B13" s="41" t="s">
        <v>212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9">
        <v>0.27804988556411597</v>
      </c>
      <c r="D14" s="79">
        <v>0.27804988556411597</v>
      </c>
      <c r="E14" s="79">
        <v>0.22312388311084699</v>
      </c>
      <c r="F14" s="79">
        <v>0.22312388311084699</v>
      </c>
    </row>
    <row r="15" spans="1:8" ht="15.75" customHeight="1" x14ac:dyDescent="0.25">
      <c r="B15" s="24" t="s">
        <v>16</v>
      </c>
      <c r="C15" s="79">
        <v>0.198018642725868</v>
      </c>
      <c r="D15" s="79">
        <v>0.198018642725868</v>
      </c>
      <c r="E15" s="79">
        <v>0.113544321895012</v>
      </c>
      <c r="F15" s="79">
        <v>0.113544321895012</v>
      </c>
    </row>
    <row r="16" spans="1:8" ht="15.75" customHeight="1" x14ac:dyDescent="0.25">
      <c r="B16" s="24" t="s">
        <v>17</v>
      </c>
      <c r="C16" s="79">
        <v>3.6604939331824703E-2</v>
      </c>
      <c r="D16" s="79">
        <v>3.6604939331824703E-2</v>
      </c>
      <c r="E16" s="79">
        <v>2.4037280167136101E-2</v>
      </c>
      <c r="F16" s="79">
        <v>2.4037280167136101E-2</v>
      </c>
    </row>
    <row r="17" spans="1:8" ht="15.75" customHeight="1" x14ac:dyDescent="0.25">
      <c r="B17" s="24" t="s">
        <v>18</v>
      </c>
      <c r="C17" s="79">
        <v>1.4827919781147199E-2</v>
      </c>
      <c r="D17" s="79">
        <v>1.4827919781147199E-2</v>
      </c>
      <c r="E17" s="79">
        <v>3.6204231980739403E-2</v>
      </c>
      <c r="F17" s="79">
        <v>3.6204231980739403E-2</v>
      </c>
    </row>
    <row r="18" spans="1:8" ht="15.75" customHeight="1" x14ac:dyDescent="0.25">
      <c r="B18" s="24" t="s">
        <v>19</v>
      </c>
      <c r="C18" s="79">
        <v>0.10400071123020101</v>
      </c>
      <c r="D18" s="79">
        <v>0.10400071123020101</v>
      </c>
      <c r="E18" s="79">
        <v>0.15367816188080699</v>
      </c>
      <c r="F18" s="79">
        <v>0.15367816188080699</v>
      </c>
    </row>
    <row r="19" spans="1:8" ht="15.75" customHeight="1" x14ac:dyDescent="0.25">
      <c r="B19" s="24" t="s">
        <v>20</v>
      </c>
      <c r="C19" s="79">
        <v>4.4802357034811398E-2</v>
      </c>
      <c r="D19" s="79">
        <v>4.4802357034811398E-2</v>
      </c>
      <c r="E19" s="79">
        <v>4.63209658998609E-2</v>
      </c>
      <c r="F19" s="79">
        <v>4.63209658998609E-2</v>
      </c>
    </row>
    <row r="20" spans="1:8" ht="15.75" customHeight="1" x14ac:dyDescent="0.25">
      <c r="B20" s="24" t="s">
        <v>21</v>
      </c>
      <c r="C20" s="79">
        <v>1.6886492108797599E-2</v>
      </c>
      <c r="D20" s="79">
        <v>1.6886492108797599E-2</v>
      </c>
      <c r="E20" s="79">
        <v>9.3337709660817093E-3</v>
      </c>
      <c r="F20" s="79">
        <v>9.3337709660817093E-3</v>
      </c>
    </row>
    <row r="21" spans="1:8" ht="15.75" customHeight="1" x14ac:dyDescent="0.25">
      <c r="B21" s="24" t="s">
        <v>22</v>
      </c>
      <c r="C21" s="79">
        <v>3.6255712882263001E-2</v>
      </c>
      <c r="D21" s="79">
        <v>3.6255712882263001E-2</v>
      </c>
      <c r="E21" s="79">
        <v>0.15810972019213099</v>
      </c>
      <c r="F21" s="79">
        <v>0.15810972019213099</v>
      </c>
    </row>
    <row r="22" spans="1:8" ht="15.75" customHeight="1" x14ac:dyDescent="0.25">
      <c r="B22" s="24" t="s">
        <v>23</v>
      </c>
      <c r="C22" s="79">
        <v>0.27055333934097114</v>
      </c>
      <c r="D22" s="79">
        <v>0.27055333934097114</v>
      </c>
      <c r="E22" s="79">
        <v>0.23564766390738501</v>
      </c>
      <c r="F22" s="79">
        <v>0.23564766390738501</v>
      </c>
    </row>
    <row r="23" spans="1:8" ht="15.75" customHeight="1" x14ac:dyDescent="0.25">
      <c r="B23" s="32" t="s">
        <v>129</v>
      </c>
      <c r="C23" s="74">
        <f>SUM(C14:C22)</f>
        <v>1</v>
      </c>
      <c r="D23" s="74">
        <f>SUM(D14:D22)</f>
        <v>1</v>
      </c>
      <c r="E23" s="74">
        <f>SUM(E14:E22)</f>
        <v>1</v>
      </c>
      <c r="F23" s="74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3">
      <c r="A25" t="s">
        <v>32</v>
      </c>
      <c r="B25" s="41" t="s">
        <v>212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9">
        <v>8.6400000000000005E-2</v>
      </c>
    </row>
    <row r="27" spans="1:8" ht="15.75" customHeight="1" x14ac:dyDescent="0.25">
      <c r="B27" s="24" t="s">
        <v>39</v>
      </c>
      <c r="C27" s="79">
        <v>8.5000000000000006E-3</v>
      </c>
    </row>
    <row r="28" spans="1:8" ht="15.75" customHeight="1" x14ac:dyDescent="0.25">
      <c r="B28" s="24" t="s">
        <v>40</v>
      </c>
      <c r="C28" s="79">
        <v>0.15130000000000002</v>
      </c>
    </row>
    <row r="29" spans="1:8" ht="15.75" customHeight="1" x14ac:dyDescent="0.25">
      <c r="B29" s="24" t="s">
        <v>41</v>
      </c>
      <c r="C29" s="79">
        <v>0.16589999999999999</v>
      </c>
    </row>
    <row r="30" spans="1:8" ht="15.75" customHeight="1" x14ac:dyDescent="0.25">
      <c r="B30" s="24" t="s">
        <v>42</v>
      </c>
      <c r="C30" s="79">
        <v>0.10339999999999999</v>
      </c>
    </row>
    <row r="31" spans="1:8" ht="15.75" customHeight="1" x14ac:dyDescent="0.25">
      <c r="B31" s="24" t="s">
        <v>43</v>
      </c>
      <c r="C31" s="79">
        <v>0.1076</v>
      </c>
    </row>
    <row r="32" spans="1:8" ht="15.75" customHeight="1" x14ac:dyDescent="0.25">
      <c r="B32" s="24" t="s">
        <v>44</v>
      </c>
      <c r="C32" s="79">
        <v>1.84E-2</v>
      </c>
    </row>
    <row r="33" spans="2:3" ht="15.75" customHeight="1" x14ac:dyDescent="0.25">
      <c r="B33" s="24" t="s">
        <v>45</v>
      </c>
      <c r="C33" s="79">
        <v>8.3000000000000004E-2</v>
      </c>
    </row>
    <row r="34" spans="2:3" ht="15.75" customHeight="1" x14ac:dyDescent="0.25">
      <c r="B34" s="24" t="s">
        <v>46</v>
      </c>
      <c r="C34" s="79">
        <v>0.27549999999776481</v>
      </c>
    </row>
    <row r="35" spans="2:3" ht="15.75" customHeight="1" x14ac:dyDescent="0.25">
      <c r="B35" s="32" t="s">
        <v>129</v>
      </c>
      <c r="C35" s="74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F14" sqref="F14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7" t="str">
        <f>"Percentage of population in each category in baseline year ("&amp;start_year&amp;")"</f>
        <v>Percentage of population in each category in baseline year (2017)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80">
        <v>0.64865831650947647</v>
      </c>
      <c r="D2" s="80">
        <v>0.64865831650947647</v>
      </c>
      <c r="E2" s="80">
        <v>0.53116416418462009</v>
      </c>
      <c r="F2" s="80">
        <v>0.30435678877227684</v>
      </c>
      <c r="G2" s="80">
        <v>0.24446630278248996</v>
      </c>
    </row>
    <row r="3" spans="1:15" ht="15.75" customHeight="1" x14ac:dyDescent="0.25">
      <c r="A3" s="5"/>
      <c r="B3" s="11" t="s">
        <v>118</v>
      </c>
      <c r="C3" s="80">
        <v>0.25705683706530691</v>
      </c>
      <c r="D3" s="80">
        <v>0.25705683706530691</v>
      </c>
      <c r="E3" s="80">
        <v>0.28150673304948914</v>
      </c>
      <c r="F3" s="80">
        <v>0.31436852524504905</v>
      </c>
      <c r="G3" s="80">
        <v>0.26922238407691934</v>
      </c>
    </row>
    <row r="4" spans="1:15" ht="15.75" customHeight="1" x14ac:dyDescent="0.25">
      <c r="A4" s="5"/>
      <c r="B4" s="11" t="s">
        <v>116</v>
      </c>
      <c r="C4" s="81">
        <v>6.6991864565285483E-2</v>
      </c>
      <c r="D4" s="81">
        <v>6.6991864565285483E-2</v>
      </c>
      <c r="E4" s="81">
        <v>0.11868311808788228</v>
      </c>
      <c r="F4" s="81">
        <v>0.22123856507671436</v>
      </c>
      <c r="G4" s="81">
        <v>0.2282685755557875</v>
      </c>
    </row>
    <row r="5" spans="1:15" ht="15.75" customHeight="1" x14ac:dyDescent="0.25">
      <c r="A5" s="5"/>
      <c r="B5" s="11" t="s">
        <v>119</v>
      </c>
      <c r="C5" s="81">
        <v>2.729298185993112E-2</v>
      </c>
      <c r="D5" s="81">
        <v>2.729298185993112E-2</v>
      </c>
      <c r="E5" s="81">
        <v>6.8645984678008573E-2</v>
      </c>
      <c r="F5" s="81">
        <v>0.16003612090595973</v>
      </c>
      <c r="G5" s="81">
        <v>0.25804273758480328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80">
        <v>0.80870320417716113</v>
      </c>
      <c r="D8" s="80">
        <v>0.80870320417716113</v>
      </c>
      <c r="E8" s="80">
        <v>0.62490888136054412</v>
      </c>
      <c r="F8" s="80">
        <v>0.64439169875432523</v>
      </c>
      <c r="G8" s="80">
        <v>0.78336821310691829</v>
      </c>
    </row>
    <row r="9" spans="1:15" ht="15.75" customHeight="1" x14ac:dyDescent="0.25">
      <c r="B9" s="7" t="s">
        <v>121</v>
      </c>
      <c r="C9" s="80">
        <v>0.13730790982283886</v>
      </c>
      <c r="D9" s="80">
        <v>0.13730790982283886</v>
      </c>
      <c r="E9" s="80">
        <v>0.26551055863945577</v>
      </c>
      <c r="F9" s="80">
        <v>0.23681903124567472</v>
      </c>
      <c r="G9" s="80">
        <v>0.1602344072264151</v>
      </c>
    </row>
    <row r="10" spans="1:15" ht="15.75" customHeight="1" x14ac:dyDescent="0.25">
      <c r="B10" s="7" t="s">
        <v>122</v>
      </c>
      <c r="C10" s="81">
        <v>3.7956233000000006E-2</v>
      </c>
      <c r="D10" s="81">
        <v>3.7956233000000006E-2</v>
      </c>
      <c r="E10" s="81">
        <v>8.2616572999999999E-2</v>
      </c>
      <c r="F10" s="81">
        <v>8.9092990999999983E-2</v>
      </c>
      <c r="G10" s="81">
        <v>4.4988164566666676E-2</v>
      </c>
    </row>
    <row r="11" spans="1:15" ht="15.75" customHeight="1" x14ac:dyDescent="0.25">
      <c r="B11" s="7" t="s">
        <v>123</v>
      </c>
      <c r="C11" s="81">
        <v>1.6032652999999997E-2</v>
      </c>
      <c r="D11" s="81">
        <v>1.6032652999999997E-2</v>
      </c>
      <c r="E11" s="81">
        <v>2.6963987000000002E-2</v>
      </c>
      <c r="F11" s="81">
        <v>2.9696278999999999E-2</v>
      </c>
      <c r="G11" s="81">
        <v>1.1409215099999998E-2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82">
        <v>0.82913434649999995</v>
      </c>
      <c r="D14" s="82">
        <v>0.83222591652800004</v>
      </c>
      <c r="E14" s="82">
        <v>0.83222591652800004</v>
      </c>
      <c r="F14" s="82">
        <v>0.69540820231900002</v>
      </c>
      <c r="G14" s="82">
        <v>0.69540820231900002</v>
      </c>
      <c r="H14" s="83">
        <v>0.52300000000000002</v>
      </c>
      <c r="I14" s="83">
        <v>0.52300000000000002</v>
      </c>
      <c r="J14" s="83">
        <v>0.52300000000000002</v>
      </c>
      <c r="K14" s="83">
        <v>0.52300000000000002</v>
      </c>
      <c r="L14" s="83">
        <v>0.49429129585699999</v>
      </c>
      <c r="M14" s="83">
        <v>0.28875713057149999</v>
      </c>
      <c r="N14" s="83">
        <v>0.31582877142249999</v>
      </c>
      <c r="O14" s="83">
        <v>0.38414925990149995</v>
      </c>
    </row>
    <row r="15" spans="1:15" ht="15.75" customHeight="1" x14ac:dyDescent="0.25">
      <c r="B15" s="16" t="s">
        <v>68</v>
      </c>
      <c r="C15" s="80">
        <f>iron_deficiency_anaemia*C14</f>
        <v>0.37015639765896657</v>
      </c>
      <c r="D15" s="80">
        <f t="shared" ref="D15:O15" si="0">iron_deficiency_anaemia*D14</f>
        <v>0.37153658945720242</v>
      </c>
      <c r="E15" s="80">
        <f t="shared" si="0"/>
        <v>0.37153658945720242</v>
      </c>
      <c r="F15" s="80">
        <f t="shared" si="0"/>
        <v>0.31045607525426383</v>
      </c>
      <c r="G15" s="80">
        <f t="shared" si="0"/>
        <v>0.31045607525426383</v>
      </c>
      <c r="H15" s="80">
        <f t="shared" si="0"/>
        <v>0.23348664398338195</v>
      </c>
      <c r="I15" s="80">
        <f t="shared" si="0"/>
        <v>0.23348664398338195</v>
      </c>
      <c r="J15" s="80">
        <f t="shared" si="0"/>
        <v>0.23348664398338195</v>
      </c>
      <c r="K15" s="80">
        <f t="shared" si="0"/>
        <v>0.23348664398338195</v>
      </c>
      <c r="L15" s="80">
        <f t="shared" si="0"/>
        <v>0.22067001112781617</v>
      </c>
      <c r="M15" s="80">
        <f t="shared" si="0"/>
        <v>0.12891191843864389</v>
      </c>
      <c r="N15" s="80">
        <f t="shared" si="0"/>
        <v>0.140997705378268</v>
      </c>
      <c r="O15" s="80">
        <f t="shared" si="0"/>
        <v>0.171498511439964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E3" sqref="E3"/>
    </sheetView>
  </sheetViews>
  <sheetFormatPr defaultColWidth="8.81640625" defaultRowHeight="12.5" x14ac:dyDescent="0.25"/>
  <cols>
    <col min="1" max="1" width="28.81640625" customWidth="1"/>
    <col min="2" max="7" width="13.453125" customWidth="1"/>
  </cols>
  <sheetData>
    <row r="1" spans="1:7" ht="40.5" customHeight="1" x14ac:dyDescent="0.3">
      <c r="A1" s="27" t="str">
        <f>"Percentage of children in each category in baseline year ("&amp;start_year&amp;")"</f>
        <v>Percentage of children in each category in baseline year (2017)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81">
        <v>0.03</v>
      </c>
      <c r="D2" s="81">
        <v>0.03</v>
      </c>
      <c r="E2" s="81">
        <v>0</v>
      </c>
      <c r="F2" s="81">
        <v>0</v>
      </c>
      <c r="G2" s="81">
        <v>0</v>
      </c>
    </row>
    <row r="3" spans="1:7" x14ac:dyDescent="0.25">
      <c r="B3" s="43" t="s">
        <v>167</v>
      </c>
      <c r="C3" s="81">
        <v>0.251</v>
      </c>
      <c r="D3" s="81">
        <v>0.193</v>
      </c>
      <c r="E3" s="81">
        <v>0</v>
      </c>
      <c r="F3" s="81">
        <v>0</v>
      </c>
      <c r="G3" s="81">
        <v>0</v>
      </c>
    </row>
    <row r="4" spans="1:7" x14ac:dyDescent="0.25">
      <c r="B4" s="43" t="s">
        <v>168</v>
      </c>
      <c r="C4" s="81">
        <v>0.49</v>
      </c>
      <c r="D4" s="81">
        <v>0.49</v>
      </c>
      <c r="E4" s="81">
        <v>0.52</v>
      </c>
      <c r="F4" s="81">
        <v>0.94499999999999995</v>
      </c>
      <c r="G4" s="81">
        <v>0</v>
      </c>
    </row>
    <row r="5" spans="1:7" x14ac:dyDescent="0.25">
      <c r="B5" s="43" t="s">
        <v>169</v>
      </c>
      <c r="C5" s="80">
        <f>1-SUM(C2:C4)</f>
        <v>0.22899999999999998</v>
      </c>
      <c r="D5" s="80">
        <f>1-SUM(D2:D4)</f>
        <v>0.28700000000000003</v>
      </c>
      <c r="E5" s="80">
        <f>1-SUM(E2:E4)</f>
        <v>0.48</v>
      </c>
      <c r="F5" s="80">
        <f>1-SUM(F2:F4)</f>
        <v>5.5000000000000049E-2</v>
      </c>
      <c r="G5" s="80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P14"/>
  <sheetViews>
    <sheetView zoomScale="110" zoomScaleNormal="110" workbookViewId="0">
      <selection activeCell="C4" sqref="C4"/>
    </sheetView>
  </sheetViews>
  <sheetFormatPr defaultColWidth="8.81640625" defaultRowHeight="12.5" x14ac:dyDescent="0.25"/>
  <cols>
    <col min="1" max="1" width="37" customWidth="1"/>
    <col min="2" max="2" width="29.453125" customWidth="1"/>
  </cols>
  <sheetData>
    <row r="1" spans="1:16" ht="13" x14ac:dyDescent="0.3">
      <c r="A1" s="4" t="s">
        <v>138</v>
      </c>
      <c r="B1" s="4" t="s">
        <v>145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 x14ac:dyDescent="0.25">
      <c r="A2" t="s">
        <v>139</v>
      </c>
      <c r="B2" s="14" t="s">
        <v>143</v>
      </c>
      <c r="C2" s="28">
        <v>0.42713000000000001</v>
      </c>
      <c r="D2" s="144">
        <v>0.42588000000000004</v>
      </c>
      <c r="E2" s="144">
        <v>0.42442000000000002</v>
      </c>
      <c r="F2" s="144">
        <v>0.42262</v>
      </c>
      <c r="G2" s="144">
        <v>0.42027000000000003</v>
      </c>
      <c r="H2" s="144">
        <v>0.41871999999999998</v>
      </c>
      <c r="I2" s="144">
        <v>0.41718000000000005</v>
      </c>
      <c r="J2" s="144">
        <v>0.41554000000000002</v>
      </c>
      <c r="K2" s="144">
        <v>0.41395000000000004</v>
      </c>
      <c r="L2" s="144">
        <v>0.41228999999999999</v>
      </c>
      <c r="M2" s="144">
        <v>0.41057000000000005</v>
      </c>
      <c r="N2" s="144">
        <v>0.40887000000000001</v>
      </c>
      <c r="O2" s="144">
        <v>0.40726000000000001</v>
      </c>
      <c r="P2" s="144">
        <v>0.40566000000000002</v>
      </c>
    </row>
    <row r="3" spans="1:16" x14ac:dyDescent="0.25">
      <c r="B3" s="14"/>
      <c r="C3" s="142"/>
      <c r="D3" s="145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</row>
    <row r="4" spans="1:16" x14ac:dyDescent="0.25">
      <c r="A4" t="s">
        <v>140</v>
      </c>
      <c r="B4" s="14" t="s">
        <v>143</v>
      </c>
      <c r="C4" s="28">
        <v>7.0140000000000008E-2</v>
      </c>
      <c r="D4" s="144">
        <v>6.8839999999999998E-2</v>
      </c>
      <c r="E4" s="144">
        <v>6.7610000000000003E-2</v>
      </c>
      <c r="F4" s="144">
        <v>6.6470000000000001E-2</v>
      </c>
      <c r="G4" s="144">
        <v>6.5449999999999994E-2</v>
      </c>
      <c r="H4" s="144">
        <v>6.4310000000000006E-2</v>
      </c>
      <c r="I4" s="144">
        <v>6.3200000000000006E-2</v>
      </c>
      <c r="J4" s="144">
        <v>6.2129999999999998E-2</v>
      </c>
      <c r="K4" s="144">
        <v>6.1089999999999998E-2</v>
      </c>
      <c r="L4" s="144">
        <v>6.0090000000000005E-2</v>
      </c>
      <c r="M4" s="144">
        <v>5.9139999999999998E-2</v>
      </c>
      <c r="N4" s="144">
        <v>5.8200000000000002E-2</v>
      </c>
      <c r="O4" s="144">
        <v>5.7279999999999998E-2</v>
      </c>
      <c r="P4" s="144">
        <v>5.6369999999999996E-2</v>
      </c>
    </row>
    <row r="5" spans="1:16" x14ac:dyDescent="0.25">
      <c r="B5" s="14"/>
      <c r="C5" s="142"/>
      <c r="D5" s="145"/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5"/>
    </row>
    <row r="6" spans="1:16" x14ac:dyDescent="0.25">
      <c r="A6" t="s">
        <v>141</v>
      </c>
      <c r="B6" s="14" t="s">
        <v>143</v>
      </c>
      <c r="C6" s="28">
        <f>('Nutritional status distribution'!C15+5*'Nutritional status distribution'!D15+6*'Nutritional status distribution'!E15+12*'Nutritional status distribution'!F15+36*'Nutritional status distribution'!G15)/60</f>
        <v>0.32264917489821426</v>
      </c>
      <c r="D6" s="144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</row>
    <row r="7" spans="1:16" x14ac:dyDescent="0.25">
      <c r="B7" s="14" t="s">
        <v>32</v>
      </c>
      <c r="C7" s="28">
        <f>('Nutritional status distribution'!H15 + 2*'Nutritional status distribution'!I15+2*'Nutritional status distribution'!J15+2*'Nutritional status distribution'!K15)/7</f>
        <v>0.23348664398338195</v>
      </c>
      <c r="D7" s="144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</row>
    <row r="8" spans="1:16" x14ac:dyDescent="0.25">
      <c r="B8" s="14" t="s">
        <v>144</v>
      </c>
      <c r="C8" s="28">
        <f>('Nutritional status distribution'!L15+2*'Nutritional status distribution'!M15+2*'Nutritional status distribution'!N15+2*'Nutritional status distribution'!O15)/7</f>
        <v>0.15764089737736686</v>
      </c>
      <c r="D8" s="144"/>
      <c r="E8" s="144"/>
      <c r="F8" s="144"/>
      <c r="G8" s="144"/>
      <c r="H8" s="144"/>
      <c r="I8" s="144"/>
      <c r="J8" s="144"/>
      <c r="K8" s="144"/>
      <c r="L8" s="144"/>
      <c r="M8" s="144"/>
      <c r="N8" s="144"/>
      <c r="O8" s="144"/>
      <c r="P8" s="144"/>
    </row>
    <row r="9" spans="1:16" x14ac:dyDescent="0.25">
      <c r="C9" s="142"/>
      <c r="D9" s="145"/>
      <c r="E9" s="145"/>
      <c r="F9" s="145"/>
      <c r="G9" s="145"/>
      <c r="H9" s="145"/>
      <c r="I9" s="145"/>
      <c r="J9" s="145"/>
      <c r="K9" s="145"/>
      <c r="L9" s="145"/>
      <c r="M9" s="145"/>
      <c r="N9" s="145"/>
      <c r="O9" s="145"/>
      <c r="P9" s="145"/>
    </row>
    <row r="10" spans="1:16" x14ac:dyDescent="0.25">
      <c r="A10" t="s">
        <v>142</v>
      </c>
      <c r="B10" s="16" t="s">
        <v>147</v>
      </c>
      <c r="C10" s="28">
        <f>('Breastfeeding distribution'!C2 + 5*'Breastfeeding distribution'!D2)/6</f>
        <v>0.03</v>
      </c>
      <c r="D10" s="144"/>
      <c r="E10" s="144"/>
      <c r="F10" s="144"/>
      <c r="G10" s="144"/>
      <c r="H10" s="144"/>
      <c r="I10" s="144"/>
      <c r="J10" s="144"/>
      <c r="K10" s="144"/>
      <c r="L10" s="144"/>
      <c r="M10" s="144"/>
      <c r="N10" s="144"/>
      <c r="O10" s="144"/>
      <c r="P10" s="144"/>
    </row>
    <row r="11" spans="1:16" x14ac:dyDescent="0.25">
      <c r="B11" s="34" t="s">
        <v>146</v>
      </c>
      <c r="C11" s="28">
        <f>('Breastfeeding distribution'!E4+2*'Breastfeeding distribution'!F4)/3</f>
        <v>0.80333333333333334</v>
      </c>
      <c r="D11" s="144"/>
      <c r="E11" s="144"/>
      <c r="F11" s="144"/>
      <c r="G11" s="144"/>
      <c r="H11" s="144"/>
      <c r="I11" s="144"/>
      <c r="J11" s="144"/>
      <c r="K11" s="144"/>
      <c r="L11" s="144"/>
      <c r="M11" s="144"/>
      <c r="N11" s="144"/>
      <c r="O11" s="144"/>
      <c r="P11" s="144"/>
    </row>
    <row r="12" spans="1:16" x14ac:dyDescent="0.25">
      <c r="C12" s="142"/>
    </row>
    <row r="13" spans="1:16" x14ac:dyDescent="0.25">
      <c r="A13" s="12" t="s">
        <v>74</v>
      </c>
      <c r="B13" s="34" t="s">
        <v>148</v>
      </c>
      <c r="C13" s="143">
        <v>123.816</v>
      </c>
      <c r="D13" s="143">
        <v>120.495</v>
      </c>
      <c r="E13" s="143">
        <v>117.309</v>
      </c>
      <c r="F13" s="143">
        <v>114.194</v>
      </c>
      <c r="G13" s="143">
        <v>111.134</v>
      </c>
      <c r="H13" s="143">
        <v>108.057</v>
      </c>
      <c r="I13" s="143">
        <v>104.958</v>
      </c>
      <c r="J13" s="143">
        <v>102.114</v>
      </c>
      <c r="K13" s="143">
        <v>99.376000000000005</v>
      </c>
      <c r="L13" s="143">
        <v>96.765000000000001</v>
      </c>
      <c r="M13" s="143">
        <v>94.296999999999997</v>
      </c>
      <c r="N13" s="143">
        <v>91.790999999999997</v>
      </c>
      <c r="O13" s="143">
        <v>89.456000000000003</v>
      </c>
      <c r="P13" s="143">
        <v>87.164000000000001</v>
      </c>
    </row>
    <row r="14" spans="1:16" x14ac:dyDescent="0.25">
      <c r="B14" s="16" t="s">
        <v>170</v>
      </c>
      <c r="C14" s="143">
        <f>maternal_mortality</f>
        <v>8.82</v>
      </c>
      <c r="D14" s="143"/>
      <c r="E14" s="143"/>
      <c r="F14" s="143"/>
      <c r="G14" s="143"/>
      <c r="H14" s="143"/>
      <c r="I14" s="143"/>
      <c r="J14" s="143"/>
      <c r="K14" s="143"/>
      <c r="L14" s="143"/>
      <c r="M14" s="143"/>
      <c r="N14" s="143"/>
      <c r="O14" s="143"/>
      <c r="P14" s="143"/>
    </row>
  </sheetData>
  <pageMargins left="0.7" right="0.7" top="0.75" bottom="0.75" header="0.3" footer="0.3"/>
  <pageSetup paperSize="193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3" sqref="D3"/>
    </sheetView>
  </sheetViews>
  <sheetFormatPr defaultColWidth="11.453125" defaultRowHeight="12.5" x14ac:dyDescent="0.25"/>
  <cols>
    <col min="1" max="1" width="17" style="35" customWidth="1"/>
    <col min="2" max="2" width="19.1796875" style="35" customWidth="1"/>
    <col min="3" max="3" width="13.453125" style="35" customWidth="1"/>
    <col min="4" max="16384" width="11.453125" style="35"/>
  </cols>
  <sheetData>
    <row r="1" spans="1:5" ht="13" x14ac:dyDescent="0.3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ht="13" x14ac:dyDescent="0.3">
      <c r="A2" s="49" t="s">
        <v>173</v>
      </c>
      <c r="B2" s="46" t="s">
        <v>32</v>
      </c>
      <c r="C2" s="84"/>
      <c r="D2" s="84"/>
      <c r="E2" s="61" t="str">
        <f>IF(E$7="","",E$7)</f>
        <v/>
      </c>
    </row>
    <row r="3" spans="1:5" x14ac:dyDescent="0.25">
      <c r="A3" s="47"/>
      <c r="B3" s="46" t="s">
        <v>1</v>
      </c>
      <c r="C3" s="84"/>
      <c r="D3" s="84" t="s">
        <v>194</v>
      </c>
      <c r="E3" s="61" t="str">
        <f>IF(E$7="","",E$7)</f>
        <v/>
      </c>
    </row>
    <row r="4" spans="1:5" x14ac:dyDescent="0.25">
      <c r="A4" s="47"/>
      <c r="B4" s="46" t="s">
        <v>2</v>
      </c>
      <c r="C4" s="84"/>
      <c r="D4" s="84" t="s">
        <v>194</v>
      </c>
      <c r="E4" s="61" t="str">
        <f>IF(E$7="","",E$7)</f>
        <v/>
      </c>
    </row>
    <row r="5" spans="1:5" x14ac:dyDescent="0.25">
      <c r="A5" s="47"/>
      <c r="B5" s="46" t="s">
        <v>3</v>
      </c>
      <c r="C5" s="84"/>
      <c r="D5" s="84" t="s">
        <v>194</v>
      </c>
      <c r="E5" s="61" t="str">
        <f>IF(E$7="","",E$7)</f>
        <v/>
      </c>
    </row>
    <row r="6" spans="1:5" x14ac:dyDescent="0.25">
      <c r="A6" s="47"/>
      <c r="B6" s="46" t="s">
        <v>4</v>
      </c>
      <c r="C6" s="84"/>
      <c r="D6" s="84" t="s">
        <v>194</v>
      </c>
      <c r="E6" s="61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4"/>
    </row>
    <row r="9" spans="1:5" ht="13" x14ac:dyDescent="0.3">
      <c r="A9" s="49" t="s">
        <v>199</v>
      </c>
      <c r="B9" s="46" t="s">
        <v>32</v>
      </c>
      <c r="C9" s="84"/>
      <c r="D9" s="84"/>
      <c r="E9" s="61" t="str">
        <f>IF(E$7="","",E$7)</f>
        <v/>
      </c>
    </row>
    <row r="10" spans="1:5" x14ac:dyDescent="0.25">
      <c r="A10" s="47"/>
      <c r="B10" s="46" t="s">
        <v>1</v>
      </c>
      <c r="C10" s="84"/>
      <c r="D10" s="84"/>
      <c r="E10" s="61" t="str">
        <f>IF(E$7="","",E$7)</f>
        <v/>
      </c>
    </row>
    <row r="11" spans="1:5" x14ac:dyDescent="0.25">
      <c r="A11" s="47"/>
      <c r="B11" s="46" t="s">
        <v>2</v>
      </c>
      <c r="C11" s="84"/>
      <c r="D11" s="84"/>
      <c r="E11" s="61" t="str">
        <f>IF(E$7="","",E$7)</f>
        <v/>
      </c>
    </row>
    <row r="12" spans="1:5" x14ac:dyDescent="0.25">
      <c r="A12" s="47"/>
      <c r="B12" s="46" t="s">
        <v>3</v>
      </c>
      <c r="C12" s="84"/>
      <c r="D12" s="84"/>
      <c r="E12" s="61" t="str">
        <f>IF(E$7="","",E$7)</f>
        <v/>
      </c>
    </row>
    <row r="13" spans="1:5" x14ac:dyDescent="0.25">
      <c r="A13" s="47"/>
      <c r="B13" s="46" t="s">
        <v>4</v>
      </c>
      <c r="C13" s="84"/>
      <c r="D13" s="84" t="s">
        <v>194</v>
      </c>
      <c r="E13" s="61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4"/>
    </row>
    <row r="16" spans="1:5" ht="13" x14ac:dyDescent="0.3">
      <c r="A16" s="49" t="s">
        <v>200</v>
      </c>
      <c r="B16" s="46" t="s">
        <v>32</v>
      </c>
      <c r="C16" s="84"/>
      <c r="D16" s="84"/>
      <c r="E16" s="61" t="str">
        <f>IF(E$7="","",E$7)</f>
        <v/>
      </c>
    </row>
    <row r="17" spans="1:5" x14ac:dyDescent="0.25">
      <c r="A17" s="47"/>
      <c r="B17" s="46" t="s">
        <v>1</v>
      </c>
      <c r="C17" s="84"/>
      <c r="D17" s="84"/>
      <c r="E17" s="61" t="str">
        <f>IF(E$7="","",E$7)</f>
        <v/>
      </c>
    </row>
    <row r="18" spans="1:5" x14ac:dyDescent="0.25">
      <c r="A18" s="47"/>
      <c r="B18" s="46" t="s">
        <v>2</v>
      </c>
      <c r="C18" s="84"/>
      <c r="D18" s="84"/>
      <c r="E18" s="61" t="str">
        <f>IF(E$7="","",E$7)</f>
        <v/>
      </c>
    </row>
    <row r="19" spans="1:5" x14ac:dyDescent="0.25">
      <c r="A19" s="47"/>
      <c r="B19" s="46" t="s">
        <v>3</v>
      </c>
      <c r="C19" s="84"/>
      <c r="D19" s="84"/>
      <c r="E19" s="61" t="str">
        <f>IF(E$7="","",E$7)</f>
        <v/>
      </c>
    </row>
    <row r="20" spans="1:5" x14ac:dyDescent="0.25">
      <c r="A20" s="47"/>
      <c r="B20" s="46" t="s">
        <v>4</v>
      </c>
      <c r="C20" s="84"/>
      <c r="D20" s="84" t="s">
        <v>194</v>
      </c>
      <c r="E20" s="61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4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1640625" defaultRowHeight="12.5" x14ac:dyDescent="0.25"/>
  <cols>
    <col min="1" max="1" width="15.7265625" customWidth="1"/>
    <col min="2" max="2" width="15.453125" customWidth="1"/>
    <col min="3" max="3" width="17.453125" customWidth="1"/>
    <col min="4" max="4" width="12.81640625" customWidth="1"/>
  </cols>
  <sheetData>
    <row r="1" spans="1:4" ht="13" x14ac:dyDescent="0.3">
      <c r="A1" s="64" t="s">
        <v>164</v>
      </c>
      <c r="B1" s="51" t="s">
        <v>181</v>
      </c>
      <c r="C1" s="65" t="s">
        <v>182</v>
      </c>
      <c r="D1" s="65" t="s">
        <v>186</v>
      </c>
    </row>
    <row r="2" spans="1:4" ht="13" x14ac:dyDescent="0.3">
      <c r="A2" s="65" t="s">
        <v>69</v>
      </c>
      <c r="B2" s="46" t="s">
        <v>67</v>
      </c>
      <c r="C2" s="46" t="s">
        <v>183</v>
      </c>
      <c r="D2" s="84"/>
    </row>
    <row r="3" spans="1:4" ht="13" x14ac:dyDescent="0.3">
      <c r="A3" s="65" t="s">
        <v>185</v>
      </c>
      <c r="B3" s="46" t="s">
        <v>176</v>
      </c>
      <c r="C3" s="46" t="s">
        <v>184</v>
      </c>
      <c r="D3" s="84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O39"/>
  <sheetViews>
    <sheetView zoomScale="85" zoomScaleNormal="118" workbookViewId="0">
      <selection activeCell="E29" sqref="E29"/>
    </sheetView>
  </sheetViews>
  <sheetFormatPr defaultColWidth="14.453125" defaultRowHeight="15.75" customHeight="1" x14ac:dyDescent="0.25"/>
  <cols>
    <col min="1" max="1" width="20" bestFit="1" customWidth="1"/>
    <col min="2" max="2" width="45.81640625" customWidth="1"/>
    <col min="3" max="3" width="8.453125" bestFit="1" customWidth="1"/>
    <col min="4" max="4" width="10" bestFit="1" customWidth="1"/>
    <col min="5" max="5" width="10.81640625" bestFit="1" customWidth="1"/>
    <col min="6" max="7" width="11.81640625" bestFit="1" customWidth="1"/>
    <col min="8" max="11" width="13.81640625" bestFit="1" customWidth="1"/>
    <col min="12" max="15" width="15.1796875" bestFit="1" customWidth="1"/>
  </cols>
  <sheetData>
    <row r="1" spans="1:15" ht="15.75" customHeight="1" x14ac:dyDescent="0.3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3">
      <c r="A2" s="4" t="s">
        <v>31</v>
      </c>
      <c r="B2" s="11" t="s">
        <v>61</v>
      </c>
      <c r="C2" s="92">
        <v>0</v>
      </c>
      <c r="D2" s="92">
        <f>food_insecure</f>
        <v>0.25800000000000001</v>
      </c>
      <c r="E2" s="92">
        <f>food_insecure</f>
        <v>0.25800000000000001</v>
      </c>
      <c r="F2" s="92">
        <f>food_insecure</f>
        <v>0.25800000000000001</v>
      </c>
      <c r="G2" s="92">
        <f>food_insecure</f>
        <v>0.25800000000000001</v>
      </c>
      <c r="H2" s="93">
        <v>0</v>
      </c>
      <c r="I2" s="93">
        <v>0</v>
      </c>
      <c r="J2" s="93">
        <v>0</v>
      </c>
      <c r="K2" s="93">
        <v>0</v>
      </c>
      <c r="L2" s="93">
        <v>0</v>
      </c>
      <c r="M2" s="93">
        <v>0</v>
      </c>
      <c r="N2" s="93">
        <v>0</v>
      </c>
      <c r="O2" s="93">
        <v>0</v>
      </c>
    </row>
    <row r="3" spans="1:15" ht="15.75" customHeight="1" x14ac:dyDescent="0.25">
      <c r="B3" s="7" t="s">
        <v>149</v>
      </c>
      <c r="C3" s="92">
        <v>1</v>
      </c>
      <c r="D3" s="92">
        <v>0</v>
      </c>
      <c r="E3" s="92">
        <v>0</v>
      </c>
      <c r="F3" s="92">
        <v>0</v>
      </c>
      <c r="G3" s="92">
        <v>0</v>
      </c>
      <c r="H3" s="93">
        <v>0</v>
      </c>
      <c r="I3" s="93">
        <v>0</v>
      </c>
      <c r="J3" s="93">
        <v>0</v>
      </c>
      <c r="K3" s="93">
        <v>0</v>
      </c>
      <c r="L3" s="93">
        <v>0</v>
      </c>
      <c r="M3" s="93">
        <v>0</v>
      </c>
      <c r="N3" s="93">
        <v>0</v>
      </c>
      <c r="O3" s="93">
        <v>0</v>
      </c>
    </row>
    <row r="4" spans="1:15" ht="15.75" customHeight="1" x14ac:dyDescent="0.25">
      <c r="B4" s="7" t="s">
        <v>196</v>
      </c>
      <c r="C4" s="92">
        <v>1</v>
      </c>
      <c r="D4" s="92">
        <v>0</v>
      </c>
      <c r="E4" s="92">
        <v>0</v>
      </c>
      <c r="F4" s="92">
        <v>0</v>
      </c>
      <c r="G4" s="92">
        <v>0</v>
      </c>
      <c r="H4" s="93">
        <v>0</v>
      </c>
      <c r="I4" s="93">
        <v>0</v>
      </c>
      <c r="J4" s="93">
        <v>0</v>
      </c>
      <c r="K4" s="93">
        <v>0</v>
      </c>
      <c r="L4" s="93">
        <v>0</v>
      </c>
      <c r="M4" s="93">
        <v>0</v>
      </c>
      <c r="N4" s="93">
        <v>0</v>
      </c>
      <c r="O4" s="93">
        <v>0</v>
      </c>
    </row>
    <row r="5" spans="1:15" ht="15.75" customHeight="1" x14ac:dyDescent="0.25">
      <c r="B5" s="11" t="s">
        <v>136</v>
      </c>
      <c r="C5" s="92">
        <v>0</v>
      </c>
      <c r="D5" s="92">
        <v>0</v>
      </c>
      <c r="E5" s="92">
        <f>food_insecure</f>
        <v>0.25800000000000001</v>
      </c>
      <c r="F5" s="92">
        <f>food_insecure</f>
        <v>0.25800000000000001</v>
      </c>
      <c r="G5" s="92">
        <v>0</v>
      </c>
      <c r="H5" s="93">
        <v>0</v>
      </c>
      <c r="I5" s="93">
        <v>0</v>
      </c>
      <c r="J5" s="93">
        <v>0</v>
      </c>
      <c r="K5" s="93">
        <v>0</v>
      </c>
      <c r="L5" s="93">
        <v>0</v>
      </c>
      <c r="M5" s="93">
        <v>0</v>
      </c>
      <c r="N5" s="93">
        <v>0</v>
      </c>
      <c r="O5" s="93">
        <v>0</v>
      </c>
    </row>
    <row r="6" spans="1:15" ht="15.75" customHeight="1" x14ac:dyDescent="0.25">
      <c r="B6" s="11" t="s">
        <v>137</v>
      </c>
      <c r="C6" s="92">
        <v>0</v>
      </c>
      <c r="D6" s="92">
        <v>0</v>
      </c>
      <c r="E6" s="92">
        <f>1</f>
        <v>1</v>
      </c>
      <c r="F6" s="92">
        <f>1</f>
        <v>1</v>
      </c>
      <c r="G6" s="92">
        <f>1</f>
        <v>1</v>
      </c>
      <c r="H6" s="93">
        <v>0</v>
      </c>
      <c r="I6" s="93">
        <v>0</v>
      </c>
      <c r="J6" s="93">
        <v>0</v>
      </c>
      <c r="K6" s="93">
        <v>0</v>
      </c>
      <c r="L6" s="93">
        <v>0</v>
      </c>
      <c r="M6" s="93">
        <v>0</v>
      </c>
      <c r="N6" s="93">
        <v>0</v>
      </c>
      <c r="O6" s="93">
        <v>0</v>
      </c>
    </row>
    <row r="7" spans="1:15" ht="15.75" customHeight="1" x14ac:dyDescent="0.25">
      <c r="B7" s="33" t="s">
        <v>84</v>
      </c>
      <c r="C7" s="92">
        <f>diarrhoea_1mo/26</f>
        <v>0.19000978606451913</v>
      </c>
      <c r="D7" s="92">
        <f>diarrhoea_1_5mo/26</f>
        <v>0.17523290027846114</v>
      </c>
      <c r="E7" s="92">
        <f>diarrhoea_6_11mo/26</f>
        <v>0.17523290027846114</v>
      </c>
      <c r="F7" s="92">
        <f>diarrhoea_12_23mo/26</f>
        <v>0.11720494019500001</v>
      </c>
      <c r="G7" s="92">
        <f>diarrhoea_24_59mo/26</f>
        <v>0.11720494019500001</v>
      </c>
      <c r="H7" s="93">
        <v>0</v>
      </c>
      <c r="I7" s="93">
        <v>0</v>
      </c>
      <c r="J7" s="93">
        <v>0</v>
      </c>
      <c r="K7" s="93">
        <v>0</v>
      </c>
      <c r="L7" s="93">
        <v>0</v>
      </c>
      <c r="M7" s="93">
        <v>0</v>
      </c>
      <c r="N7" s="93">
        <v>0</v>
      </c>
      <c r="O7" s="93">
        <v>0</v>
      </c>
    </row>
    <row r="8" spans="1:15" ht="15.75" customHeight="1" x14ac:dyDescent="0.25">
      <c r="B8" s="11" t="s">
        <v>58</v>
      </c>
      <c r="C8" s="92">
        <v>0</v>
      </c>
      <c r="D8" s="92">
        <v>0</v>
      </c>
      <c r="E8" s="92">
        <f>food_insecure</f>
        <v>0.25800000000000001</v>
      </c>
      <c r="F8" s="92">
        <f>food_insecure</f>
        <v>0.25800000000000001</v>
      </c>
      <c r="G8" s="92">
        <v>0</v>
      </c>
      <c r="H8" s="93">
        <v>0</v>
      </c>
      <c r="I8" s="93">
        <v>0</v>
      </c>
      <c r="J8" s="93">
        <v>0</v>
      </c>
      <c r="K8" s="93">
        <v>0</v>
      </c>
      <c r="L8" s="93">
        <v>0</v>
      </c>
      <c r="M8" s="93">
        <v>0</v>
      </c>
      <c r="N8" s="93">
        <v>0</v>
      </c>
      <c r="O8" s="93">
        <v>0</v>
      </c>
    </row>
    <row r="9" spans="1:15" ht="15.75" customHeight="1" x14ac:dyDescent="0.25">
      <c r="B9" s="11" t="s">
        <v>67</v>
      </c>
      <c r="C9" s="92">
        <v>0</v>
      </c>
      <c r="D9" s="92">
        <f>IF(ISBLANK(comm_deliv), frac_children_health_facility,1)</f>
        <v>0.29799999999999999</v>
      </c>
      <c r="E9" s="92">
        <f>IF(ISBLANK(comm_deliv), frac_children_health_facility,1)</f>
        <v>0.29799999999999999</v>
      </c>
      <c r="F9" s="92">
        <f>IF(ISBLANK(comm_deliv), frac_children_health_facility,1)</f>
        <v>0.29799999999999999</v>
      </c>
      <c r="G9" s="92">
        <f>IF(ISBLANK(comm_deliv), frac_children_health_facility,1)</f>
        <v>0.29799999999999999</v>
      </c>
      <c r="H9" s="93">
        <v>0</v>
      </c>
      <c r="I9" s="93">
        <v>0</v>
      </c>
      <c r="J9" s="93">
        <v>0</v>
      </c>
      <c r="K9" s="93">
        <v>0</v>
      </c>
      <c r="L9" s="93">
        <v>0</v>
      </c>
      <c r="M9" s="93">
        <v>0</v>
      </c>
      <c r="N9" s="93">
        <v>0</v>
      </c>
      <c r="O9" s="93">
        <v>0</v>
      </c>
    </row>
    <row r="10" spans="1:15" ht="15" customHeight="1" x14ac:dyDescent="0.25">
      <c r="B10" s="11" t="s">
        <v>28</v>
      </c>
      <c r="C10" s="92">
        <v>0</v>
      </c>
      <c r="D10" s="92">
        <v>0</v>
      </c>
      <c r="E10" s="92">
        <v>1</v>
      </c>
      <c r="F10" s="92">
        <v>1</v>
      </c>
      <c r="G10" s="92">
        <v>1</v>
      </c>
      <c r="H10" s="93">
        <v>0</v>
      </c>
      <c r="I10" s="93">
        <v>0</v>
      </c>
      <c r="J10" s="93">
        <v>0</v>
      </c>
      <c r="K10" s="93">
        <v>0</v>
      </c>
      <c r="L10" s="93">
        <v>0</v>
      </c>
      <c r="M10" s="93">
        <v>0</v>
      </c>
      <c r="N10" s="93">
        <v>0</v>
      </c>
      <c r="O10" s="93">
        <v>0</v>
      </c>
    </row>
    <row r="11" spans="1:15" ht="15.75" customHeight="1" x14ac:dyDescent="0.25">
      <c r="B11" s="33" t="s">
        <v>85</v>
      </c>
      <c r="C11" s="92">
        <f>diarrhoea_1mo/26</f>
        <v>0.19000978606451913</v>
      </c>
      <c r="D11" s="92">
        <f>diarrhoea_1_5mo/26</f>
        <v>0.17523290027846114</v>
      </c>
      <c r="E11" s="92">
        <f>diarrhoea_6_11mo/26</f>
        <v>0.17523290027846114</v>
      </c>
      <c r="F11" s="92">
        <f>diarrhoea_12_23mo/26</f>
        <v>0.11720494019500001</v>
      </c>
      <c r="G11" s="92">
        <f>diarrhoea_24_59mo/26</f>
        <v>0.11720494019500001</v>
      </c>
      <c r="H11" s="93">
        <v>0</v>
      </c>
      <c r="I11" s="93">
        <v>0</v>
      </c>
      <c r="J11" s="93">
        <v>0</v>
      </c>
      <c r="K11" s="93">
        <v>0</v>
      </c>
      <c r="L11" s="93">
        <v>0</v>
      </c>
      <c r="M11" s="93">
        <v>0</v>
      </c>
      <c r="N11" s="93">
        <v>0</v>
      </c>
      <c r="O11" s="93">
        <v>0</v>
      </c>
    </row>
    <row r="12" spans="1:15" ht="15.75" customHeight="1" x14ac:dyDescent="0.25">
      <c r="B12" s="11" t="s">
        <v>60</v>
      </c>
      <c r="C12" s="92">
        <v>0</v>
      </c>
      <c r="D12" s="92">
        <v>0</v>
      </c>
      <c r="E12" s="92">
        <v>1</v>
      </c>
      <c r="F12" s="92">
        <v>1</v>
      </c>
      <c r="G12" s="92">
        <v>1</v>
      </c>
      <c r="H12" s="93">
        <v>0</v>
      </c>
      <c r="I12" s="93">
        <v>0</v>
      </c>
      <c r="J12" s="93">
        <v>0</v>
      </c>
      <c r="K12" s="93">
        <v>0</v>
      </c>
      <c r="L12" s="93">
        <v>0</v>
      </c>
      <c r="M12" s="93">
        <v>0</v>
      </c>
      <c r="N12" s="93">
        <v>0</v>
      </c>
      <c r="O12" s="93">
        <v>0</v>
      </c>
    </row>
    <row r="13" spans="1:15" ht="15.75" customHeight="1" x14ac:dyDescent="0.25">
      <c r="B13" s="33"/>
    </row>
    <row r="14" spans="1:15" ht="15.75" customHeight="1" x14ac:dyDescent="0.3">
      <c r="A14" s="4" t="s">
        <v>32</v>
      </c>
      <c r="B14" s="33" t="s">
        <v>29</v>
      </c>
      <c r="C14" s="93">
        <v>0</v>
      </c>
      <c r="D14" s="93">
        <v>0</v>
      </c>
      <c r="E14" s="93">
        <v>0</v>
      </c>
      <c r="F14" s="93">
        <v>0</v>
      </c>
      <c r="G14" s="93">
        <v>0</v>
      </c>
      <c r="H14" s="92">
        <f>food_insecure</f>
        <v>0.25800000000000001</v>
      </c>
      <c r="I14" s="92">
        <f>food_insecure</f>
        <v>0.25800000000000001</v>
      </c>
      <c r="J14" s="92">
        <f>food_insecure</f>
        <v>0.25800000000000001</v>
      </c>
      <c r="K14" s="92">
        <f>food_insecure</f>
        <v>0.25800000000000001</v>
      </c>
      <c r="L14" s="93">
        <v>0</v>
      </c>
      <c r="M14" s="93">
        <v>0</v>
      </c>
      <c r="N14" s="93">
        <v>0</v>
      </c>
      <c r="O14" s="93">
        <v>0</v>
      </c>
    </row>
    <row r="15" spans="1:15" ht="15.75" customHeight="1" x14ac:dyDescent="0.3">
      <c r="A15" s="4"/>
      <c r="B15" s="11" t="s">
        <v>86</v>
      </c>
      <c r="C15" s="93">
        <v>0</v>
      </c>
      <c r="D15" s="93">
        <v>0</v>
      </c>
      <c r="E15" s="93">
        <v>0</v>
      </c>
      <c r="F15" s="93">
        <v>0</v>
      </c>
      <c r="G15" s="93">
        <v>0</v>
      </c>
      <c r="H15" s="92">
        <v>1</v>
      </c>
      <c r="I15" s="92">
        <v>1</v>
      </c>
      <c r="J15" s="92">
        <v>1</v>
      </c>
      <c r="K15" s="92">
        <v>1</v>
      </c>
      <c r="L15" s="93">
        <v>0</v>
      </c>
      <c r="M15" s="93">
        <v>0</v>
      </c>
      <c r="N15" s="93">
        <v>0</v>
      </c>
      <c r="O15" s="93">
        <v>0</v>
      </c>
    </row>
    <row r="16" spans="1:15" ht="15.75" customHeight="1" x14ac:dyDescent="0.3">
      <c r="A16" s="4"/>
      <c r="B16" s="11" t="s">
        <v>187</v>
      </c>
      <c r="C16" s="93">
        <v>0</v>
      </c>
      <c r="D16" s="93">
        <v>0</v>
      </c>
      <c r="E16" s="93">
        <v>0</v>
      </c>
      <c r="F16" s="93">
        <v>0</v>
      </c>
      <c r="G16" s="93">
        <v>0</v>
      </c>
      <c r="H16" s="92">
        <f xml:space="preserve"> 1</f>
        <v>1</v>
      </c>
      <c r="I16" s="92">
        <f xml:space="preserve"> 1</f>
        <v>1</v>
      </c>
      <c r="J16" s="92">
        <f xml:space="preserve"> 1</f>
        <v>1</v>
      </c>
      <c r="K16" s="92">
        <f xml:space="preserve"> 1</f>
        <v>1</v>
      </c>
      <c r="L16" s="93">
        <v>0</v>
      </c>
      <c r="M16" s="93">
        <v>0</v>
      </c>
      <c r="N16" s="93">
        <v>0</v>
      </c>
      <c r="O16" s="93">
        <v>0</v>
      </c>
    </row>
    <row r="17" spans="1:15" ht="15.75" customHeight="1" x14ac:dyDescent="0.3">
      <c r="A17" s="4"/>
      <c r="B17" s="11" t="s">
        <v>209</v>
      </c>
      <c r="C17" s="93">
        <v>0</v>
      </c>
      <c r="D17" s="93">
        <v>0</v>
      </c>
      <c r="E17" s="93">
        <v>0</v>
      </c>
      <c r="F17" s="93">
        <v>0</v>
      </c>
      <c r="G17" s="93">
        <v>0</v>
      </c>
      <c r="H17" s="92">
        <f>frac_PW_health_facility</f>
        <v>0.38100000000000001</v>
      </c>
      <c r="I17" s="92">
        <f>frac_PW_health_facility</f>
        <v>0.38100000000000001</v>
      </c>
      <c r="J17" s="92">
        <f>frac_PW_health_facility</f>
        <v>0.38100000000000001</v>
      </c>
      <c r="K17" s="92">
        <f>frac_PW_health_facility</f>
        <v>0.38100000000000001</v>
      </c>
      <c r="L17" s="93">
        <v>0</v>
      </c>
      <c r="M17" s="93">
        <v>0</v>
      </c>
      <c r="N17" s="93">
        <v>0</v>
      </c>
      <c r="O17" s="93">
        <v>0</v>
      </c>
    </row>
    <row r="18" spans="1:15" ht="15" customHeight="1" x14ac:dyDescent="0.25">
      <c r="B18" s="33" t="s">
        <v>57</v>
      </c>
      <c r="C18" s="93">
        <v>0</v>
      </c>
      <c r="D18" s="93">
        <v>0</v>
      </c>
      <c r="E18" s="93">
        <v>0</v>
      </c>
      <c r="F18" s="93">
        <v>0</v>
      </c>
      <c r="G18" s="93">
        <v>0</v>
      </c>
      <c r="H18" s="92">
        <f>frac_malaria_risk</f>
        <v>0.99900000000000011</v>
      </c>
      <c r="I18" s="92">
        <f>frac_malaria_risk</f>
        <v>0.99900000000000011</v>
      </c>
      <c r="J18" s="92">
        <f>frac_malaria_risk</f>
        <v>0.99900000000000011</v>
      </c>
      <c r="K18" s="92">
        <f>frac_malaria_risk</f>
        <v>0.99900000000000011</v>
      </c>
      <c r="L18" s="93">
        <v>0</v>
      </c>
      <c r="M18" s="93">
        <v>0</v>
      </c>
      <c r="N18" s="93">
        <v>0</v>
      </c>
      <c r="O18" s="93">
        <v>0</v>
      </c>
    </row>
    <row r="19" spans="1:15" ht="15.75" customHeight="1" x14ac:dyDescent="0.25">
      <c r="B19" s="11" t="s">
        <v>88</v>
      </c>
      <c r="C19" s="93">
        <v>0</v>
      </c>
      <c r="D19" s="93">
        <v>0</v>
      </c>
      <c r="E19" s="93">
        <v>0</v>
      </c>
      <c r="F19" s="93">
        <v>0</v>
      </c>
      <c r="G19" s="93">
        <v>0</v>
      </c>
      <c r="H19" s="92">
        <v>1</v>
      </c>
      <c r="I19" s="92">
        <v>1</v>
      </c>
      <c r="J19" s="92">
        <v>1</v>
      </c>
      <c r="K19" s="92">
        <v>1</v>
      </c>
      <c r="L19" s="93">
        <v>0</v>
      </c>
      <c r="M19" s="93">
        <v>0</v>
      </c>
      <c r="N19" s="93">
        <v>0</v>
      </c>
      <c r="O19" s="93">
        <v>0</v>
      </c>
    </row>
    <row r="20" spans="1:15" ht="15.75" customHeight="1" x14ac:dyDescent="0.25">
      <c r="B20" s="11" t="s">
        <v>87</v>
      </c>
      <c r="C20" s="93">
        <v>0</v>
      </c>
      <c r="D20" s="93">
        <v>0</v>
      </c>
      <c r="E20" s="93">
        <v>0</v>
      </c>
      <c r="F20" s="93">
        <v>0</v>
      </c>
      <c r="G20" s="93">
        <v>0</v>
      </c>
      <c r="H20" s="92">
        <v>1</v>
      </c>
      <c r="I20" s="92">
        <v>1</v>
      </c>
      <c r="J20" s="92">
        <v>1</v>
      </c>
      <c r="K20" s="92">
        <v>1</v>
      </c>
      <c r="L20" s="93">
        <v>0</v>
      </c>
      <c r="M20" s="93">
        <v>0</v>
      </c>
      <c r="N20" s="93">
        <v>0</v>
      </c>
      <c r="O20" s="93">
        <v>0</v>
      </c>
    </row>
    <row r="21" spans="1:15" ht="15.75" customHeight="1" x14ac:dyDescent="0.25">
      <c r="B21" s="33" t="s">
        <v>59</v>
      </c>
      <c r="C21" s="93">
        <v>0</v>
      </c>
      <c r="D21" s="93">
        <v>0</v>
      </c>
      <c r="E21" s="93">
        <v>0</v>
      </c>
      <c r="F21" s="93">
        <v>0</v>
      </c>
      <c r="G21" s="93">
        <v>0</v>
      </c>
      <c r="H21" s="92">
        <f>1</f>
        <v>1</v>
      </c>
      <c r="I21" s="92">
        <f>1</f>
        <v>1</v>
      </c>
      <c r="J21" s="92">
        <f>1</f>
        <v>1</v>
      </c>
      <c r="K21" s="92">
        <f>1</f>
        <v>1</v>
      </c>
      <c r="L21" s="93">
        <v>0</v>
      </c>
      <c r="M21" s="93">
        <v>0</v>
      </c>
      <c r="N21" s="93">
        <v>0</v>
      </c>
      <c r="O21" s="93">
        <v>0</v>
      </c>
    </row>
    <row r="22" spans="1:15" ht="15.75" customHeight="1" x14ac:dyDescent="0.25">
      <c r="B22" s="33"/>
    </row>
    <row r="23" spans="1:15" ht="15.75" customHeight="1" x14ac:dyDescent="0.3">
      <c r="A23" s="62" t="s">
        <v>37</v>
      </c>
      <c r="B23" s="63" t="s">
        <v>198</v>
      </c>
      <c r="C23" s="93">
        <v>0</v>
      </c>
      <c r="D23" s="93">
        <v>0</v>
      </c>
      <c r="E23" s="93">
        <v>0</v>
      </c>
      <c r="F23" s="93">
        <v>0</v>
      </c>
      <c r="G23" s="93">
        <v>0</v>
      </c>
      <c r="H23" s="93">
        <v>0</v>
      </c>
      <c r="I23" s="93">
        <v>0</v>
      </c>
      <c r="J23" s="93">
        <v>0</v>
      </c>
      <c r="K23" s="93">
        <v>0</v>
      </c>
      <c r="L23" s="92">
        <f>famplan_unmet_need</f>
        <v>0.71299999999999997</v>
      </c>
      <c r="M23" s="92">
        <f>famplan_unmet_need</f>
        <v>0.71299999999999997</v>
      </c>
      <c r="N23" s="92">
        <f>famplan_unmet_need</f>
        <v>0.71299999999999997</v>
      </c>
      <c r="O23" s="92">
        <f>famplan_unmet_need</f>
        <v>0.71299999999999997</v>
      </c>
    </row>
    <row r="24" spans="1:15" ht="15.75" customHeight="1" x14ac:dyDescent="0.25">
      <c r="B24" s="63" t="s">
        <v>188</v>
      </c>
      <c r="C24" s="93">
        <v>0</v>
      </c>
      <c r="D24" s="93">
        <v>0</v>
      </c>
      <c r="E24" s="93">
        <v>0</v>
      </c>
      <c r="F24" s="93">
        <v>0</v>
      </c>
      <c r="G24" s="93">
        <v>0</v>
      </c>
      <c r="H24" s="93">
        <v>0</v>
      </c>
      <c r="I24" s="93">
        <v>0</v>
      </c>
      <c r="J24" s="93">
        <v>0</v>
      </c>
      <c r="K24" s="93">
        <v>0</v>
      </c>
      <c r="L24" s="92">
        <f>(1-food_insecure)*(0.49)*(1-school_attendance) + food_insecure*(0.7)*(1-school_attendance)</f>
        <v>0.49060210423870088</v>
      </c>
      <c r="M24" s="92">
        <f>(1-food_insecure)*(0.49)+food_insecure*(0.7)</f>
        <v>0.54418</v>
      </c>
      <c r="N24" s="92">
        <f>(1-food_insecure)*(0.49)+food_insecure*(0.7)</f>
        <v>0.54418</v>
      </c>
      <c r="O24" s="92">
        <f>(1-food_insecure)*(0.49)+food_insecure*(0.7)</f>
        <v>0.54418</v>
      </c>
    </row>
    <row r="25" spans="1:15" ht="15.75" customHeight="1" x14ac:dyDescent="0.25">
      <c r="B25" s="63" t="s">
        <v>208</v>
      </c>
      <c r="C25" s="93">
        <v>0</v>
      </c>
      <c r="D25" s="93">
        <v>0</v>
      </c>
      <c r="E25" s="93">
        <v>0</v>
      </c>
      <c r="F25" s="93">
        <v>0</v>
      </c>
      <c r="G25" s="93">
        <v>0</v>
      </c>
      <c r="H25" s="93">
        <v>0</v>
      </c>
      <c r="I25" s="93">
        <v>0</v>
      </c>
      <c r="J25" s="93">
        <v>0</v>
      </c>
      <c r="K25" s="93">
        <v>0</v>
      </c>
      <c r="L25" s="92">
        <f>(1-food_insecure)*(0.21)*(1-school_attendance) + food_insecure*(0.3)*(1-school_attendance)</f>
        <v>0.21025804467372894</v>
      </c>
      <c r="M25" s="92">
        <f>(1-food_insecure)*(0.21)+food_insecure*(0.3)</f>
        <v>0.23321999999999998</v>
      </c>
      <c r="N25" s="92">
        <f>(1-food_insecure)*(0.21)+food_insecure*(0.3)</f>
        <v>0.23321999999999998</v>
      </c>
      <c r="O25" s="92">
        <f>(1-food_insecure)*(0.21)+food_insecure*(0.3)</f>
        <v>0.23321999999999998</v>
      </c>
    </row>
    <row r="26" spans="1:15" ht="15.75" customHeight="1" x14ac:dyDescent="0.25">
      <c r="B26" s="63" t="s">
        <v>189</v>
      </c>
      <c r="C26" s="93">
        <v>0</v>
      </c>
      <c r="D26" s="93">
        <v>0</v>
      </c>
      <c r="E26" s="93">
        <v>0</v>
      </c>
      <c r="F26" s="93">
        <v>0</v>
      </c>
      <c r="G26" s="93">
        <v>0</v>
      </c>
      <c r="H26" s="93">
        <v>0</v>
      </c>
      <c r="I26" s="93">
        <v>0</v>
      </c>
      <c r="J26" s="93">
        <v>0</v>
      </c>
      <c r="K26" s="93">
        <v>0</v>
      </c>
      <c r="L26" s="92">
        <f>(1-food_insecure)*(0.3)*(1-school_attendance)</f>
        <v>0.20068364953422546</v>
      </c>
      <c r="M26" s="92">
        <f>(1-food_insecure)*(0.3)</f>
        <v>0.22259999999999999</v>
      </c>
      <c r="N26" s="92">
        <f>(1-food_insecure)*(0.3)</f>
        <v>0.22259999999999999</v>
      </c>
      <c r="O26" s="92">
        <f>(1-food_insecure)*(0.3)</f>
        <v>0.22259999999999999</v>
      </c>
    </row>
    <row r="27" spans="1:15" ht="15.75" customHeight="1" x14ac:dyDescent="0.25">
      <c r="B27" s="63" t="s">
        <v>190</v>
      </c>
      <c r="C27" s="93">
        <v>0</v>
      </c>
      <c r="D27" s="93">
        <v>0</v>
      </c>
      <c r="E27" s="93">
        <v>0</v>
      </c>
      <c r="F27" s="93">
        <v>0</v>
      </c>
      <c r="G27" s="93">
        <v>0</v>
      </c>
      <c r="H27" s="93">
        <v>0</v>
      </c>
      <c r="I27" s="93">
        <v>0</v>
      </c>
      <c r="J27" s="93">
        <v>0</v>
      </c>
      <c r="K27" s="93">
        <v>0</v>
      </c>
      <c r="L27" s="92">
        <f>(1-food_insecure)*1*school_attendance + food_insecure*1*school_attendance</f>
        <v>9.8456201553344724E-2</v>
      </c>
      <c r="M27" s="92">
        <v>0</v>
      </c>
      <c r="N27" s="92">
        <v>0</v>
      </c>
      <c r="O27" s="92">
        <v>0</v>
      </c>
    </row>
    <row r="28" spans="1:15" ht="15.75" customHeight="1" x14ac:dyDescent="0.25">
      <c r="B28" s="11"/>
      <c r="C28" s="2"/>
      <c r="D28" s="2"/>
      <c r="E28" s="10"/>
      <c r="F28" s="10"/>
      <c r="G28" s="10"/>
      <c r="H28" s="10"/>
      <c r="I28" s="10"/>
    </row>
    <row r="29" spans="1:15" ht="15.75" customHeight="1" x14ac:dyDescent="0.3">
      <c r="A29" s="4" t="s">
        <v>35</v>
      </c>
      <c r="B29" s="11" t="s">
        <v>63</v>
      </c>
      <c r="C29" s="92">
        <v>0</v>
      </c>
      <c r="D29" s="92">
        <v>0</v>
      </c>
      <c r="E29" s="92">
        <f t="shared" ref="E29:O29" si="0">frac_maize</f>
        <v>0.99</v>
      </c>
      <c r="F29" s="92">
        <f t="shared" si="0"/>
        <v>0.99</v>
      </c>
      <c r="G29" s="92">
        <f t="shared" si="0"/>
        <v>0.99</v>
      </c>
      <c r="H29" s="92">
        <f t="shared" si="0"/>
        <v>0.99</v>
      </c>
      <c r="I29" s="92">
        <f t="shared" si="0"/>
        <v>0.99</v>
      </c>
      <c r="J29" s="92">
        <f t="shared" si="0"/>
        <v>0.99</v>
      </c>
      <c r="K29" s="92">
        <f t="shared" si="0"/>
        <v>0.99</v>
      </c>
      <c r="L29" s="92">
        <f t="shared" si="0"/>
        <v>0.99</v>
      </c>
      <c r="M29" s="92">
        <f t="shared" si="0"/>
        <v>0.99</v>
      </c>
      <c r="N29" s="92">
        <f t="shared" si="0"/>
        <v>0.99</v>
      </c>
      <c r="O29" s="92">
        <f t="shared" si="0"/>
        <v>0.99</v>
      </c>
    </row>
    <row r="30" spans="1:15" ht="15.75" customHeight="1" x14ac:dyDescent="0.25">
      <c r="B30" s="11" t="s">
        <v>64</v>
      </c>
      <c r="C30" s="92">
        <v>0</v>
      </c>
      <c r="D30" s="92">
        <v>0</v>
      </c>
      <c r="E30" s="92">
        <f t="shared" ref="E30:O30" si="1">frac_rice</f>
        <v>5.0000000000000001E-3</v>
      </c>
      <c r="F30" s="92">
        <f t="shared" si="1"/>
        <v>5.0000000000000001E-3</v>
      </c>
      <c r="G30" s="92">
        <f t="shared" si="1"/>
        <v>5.0000000000000001E-3</v>
      </c>
      <c r="H30" s="92">
        <f t="shared" si="1"/>
        <v>5.0000000000000001E-3</v>
      </c>
      <c r="I30" s="92">
        <f t="shared" si="1"/>
        <v>5.0000000000000001E-3</v>
      </c>
      <c r="J30" s="92">
        <f t="shared" si="1"/>
        <v>5.0000000000000001E-3</v>
      </c>
      <c r="K30" s="92">
        <f t="shared" si="1"/>
        <v>5.0000000000000001E-3</v>
      </c>
      <c r="L30" s="92">
        <f t="shared" si="1"/>
        <v>5.0000000000000001E-3</v>
      </c>
      <c r="M30" s="92">
        <f t="shared" si="1"/>
        <v>5.0000000000000001E-3</v>
      </c>
      <c r="N30" s="92">
        <f t="shared" si="1"/>
        <v>5.0000000000000001E-3</v>
      </c>
      <c r="O30" s="92">
        <f t="shared" si="1"/>
        <v>5.0000000000000001E-3</v>
      </c>
    </row>
    <row r="31" spans="1:15" ht="15.75" customHeight="1" x14ac:dyDescent="0.25">
      <c r="B31" s="11" t="s">
        <v>62</v>
      </c>
      <c r="C31" s="92">
        <v>0</v>
      </c>
      <c r="D31" s="92">
        <v>0</v>
      </c>
      <c r="E31" s="92">
        <f>frac_wheat</f>
        <v>5.0000000000000001E-3</v>
      </c>
      <c r="F31" s="92">
        <f t="shared" ref="F31:O31" si="2">frac_wheat</f>
        <v>5.0000000000000001E-3</v>
      </c>
      <c r="G31" s="92">
        <f t="shared" si="2"/>
        <v>5.0000000000000001E-3</v>
      </c>
      <c r="H31" s="92">
        <f t="shared" si="2"/>
        <v>5.0000000000000001E-3</v>
      </c>
      <c r="I31" s="92">
        <f t="shared" si="2"/>
        <v>5.0000000000000001E-3</v>
      </c>
      <c r="J31" s="92">
        <f t="shared" si="2"/>
        <v>5.0000000000000001E-3</v>
      </c>
      <c r="K31" s="92">
        <f t="shared" si="2"/>
        <v>5.0000000000000001E-3</v>
      </c>
      <c r="L31" s="92">
        <f t="shared" si="2"/>
        <v>5.0000000000000001E-3</v>
      </c>
      <c r="M31" s="92">
        <f t="shared" si="2"/>
        <v>5.0000000000000001E-3</v>
      </c>
      <c r="N31" s="92">
        <f t="shared" si="2"/>
        <v>5.0000000000000001E-3</v>
      </c>
      <c r="O31" s="92">
        <f t="shared" si="2"/>
        <v>5.0000000000000001E-3</v>
      </c>
    </row>
    <row r="32" spans="1:15" ht="15.75" customHeight="1" x14ac:dyDescent="0.25">
      <c r="B32" s="11" t="s">
        <v>47</v>
      </c>
      <c r="C32" s="92">
        <v>0</v>
      </c>
      <c r="D32" s="92">
        <v>0</v>
      </c>
      <c r="E32" s="92">
        <v>1</v>
      </c>
      <c r="F32" s="92">
        <v>1</v>
      </c>
      <c r="G32" s="92">
        <v>1</v>
      </c>
      <c r="H32" s="92">
        <v>1</v>
      </c>
      <c r="I32" s="92">
        <v>1</v>
      </c>
      <c r="J32" s="92">
        <v>1</v>
      </c>
      <c r="K32" s="92">
        <v>1</v>
      </c>
      <c r="L32" s="92">
        <v>1</v>
      </c>
      <c r="M32" s="92">
        <v>1</v>
      </c>
      <c r="N32" s="92">
        <v>1</v>
      </c>
      <c r="O32" s="92">
        <v>1</v>
      </c>
    </row>
    <row r="33" spans="1:15" ht="15.75" customHeight="1" x14ac:dyDescent="0.25">
      <c r="B33" s="11" t="s">
        <v>34</v>
      </c>
      <c r="C33" s="92">
        <f t="shared" ref="C33:O33" si="3">frac_malaria_risk</f>
        <v>0.99900000000000011</v>
      </c>
      <c r="D33" s="92">
        <f t="shared" si="3"/>
        <v>0.99900000000000011</v>
      </c>
      <c r="E33" s="92">
        <f t="shared" si="3"/>
        <v>0.99900000000000011</v>
      </c>
      <c r="F33" s="92">
        <f t="shared" si="3"/>
        <v>0.99900000000000011</v>
      </c>
      <c r="G33" s="92">
        <f t="shared" si="3"/>
        <v>0.99900000000000011</v>
      </c>
      <c r="H33" s="92">
        <f t="shared" si="3"/>
        <v>0.99900000000000011</v>
      </c>
      <c r="I33" s="92">
        <f t="shared" si="3"/>
        <v>0.99900000000000011</v>
      </c>
      <c r="J33" s="92">
        <f t="shared" si="3"/>
        <v>0.99900000000000011</v>
      </c>
      <c r="K33" s="92">
        <f t="shared" si="3"/>
        <v>0.99900000000000011</v>
      </c>
      <c r="L33" s="92">
        <f t="shared" si="3"/>
        <v>0.99900000000000011</v>
      </c>
      <c r="M33" s="92">
        <f t="shared" si="3"/>
        <v>0.99900000000000011</v>
      </c>
      <c r="N33" s="92">
        <f t="shared" si="3"/>
        <v>0.99900000000000011</v>
      </c>
      <c r="O33" s="92">
        <f t="shared" si="3"/>
        <v>0.99900000000000011</v>
      </c>
    </row>
    <row r="34" spans="1:15" ht="15.75" customHeight="1" x14ac:dyDescent="0.25">
      <c r="B34" s="33" t="s">
        <v>83</v>
      </c>
      <c r="C34" s="92">
        <v>1</v>
      </c>
      <c r="D34" s="92">
        <v>1</v>
      </c>
      <c r="E34" s="92">
        <v>1</v>
      </c>
      <c r="F34" s="92">
        <v>1</v>
      </c>
      <c r="G34" s="92">
        <v>1</v>
      </c>
      <c r="H34" s="92">
        <v>1</v>
      </c>
      <c r="I34" s="92">
        <v>1</v>
      </c>
      <c r="J34" s="92">
        <v>1</v>
      </c>
      <c r="K34" s="92">
        <v>1</v>
      </c>
      <c r="L34" s="92">
        <v>1</v>
      </c>
      <c r="M34" s="92">
        <v>1</v>
      </c>
      <c r="N34" s="92">
        <v>1</v>
      </c>
      <c r="O34" s="92">
        <v>1</v>
      </c>
    </row>
    <row r="35" spans="1:15" ht="15.75" customHeight="1" x14ac:dyDescent="0.25">
      <c r="A35" s="5"/>
      <c r="B35" s="33" t="s">
        <v>82</v>
      </c>
      <c r="C35" s="92">
        <v>1</v>
      </c>
      <c r="D35" s="92">
        <v>1</v>
      </c>
      <c r="E35" s="92">
        <v>1</v>
      </c>
      <c r="F35" s="92">
        <v>1</v>
      </c>
      <c r="G35" s="92">
        <v>1</v>
      </c>
      <c r="H35" s="92">
        <v>1</v>
      </c>
      <c r="I35" s="92">
        <v>1</v>
      </c>
      <c r="J35" s="92">
        <v>1</v>
      </c>
      <c r="K35" s="92">
        <v>1</v>
      </c>
      <c r="L35" s="92">
        <v>1</v>
      </c>
      <c r="M35" s="92">
        <v>1</v>
      </c>
      <c r="N35" s="92">
        <v>1</v>
      </c>
      <c r="O35" s="92">
        <v>1</v>
      </c>
    </row>
    <row r="36" spans="1:15" s="5" customFormat="1" ht="15.75" customHeight="1" x14ac:dyDescent="0.25">
      <c r="B36" s="33" t="s">
        <v>81</v>
      </c>
      <c r="C36" s="92">
        <v>1</v>
      </c>
      <c r="D36" s="92">
        <v>1</v>
      </c>
      <c r="E36" s="92">
        <v>1</v>
      </c>
      <c r="F36" s="92">
        <v>1</v>
      </c>
      <c r="G36" s="92">
        <v>1</v>
      </c>
      <c r="H36" s="92">
        <v>1</v>
      </c>
      <c r="I36" s="92">
        <v>1</v>
      </c>
      <c r="J36" s="92">
        <v>1</v>
      </c>
      <c r="K36" s="92">
        <v>1</v>
      </c>
      <c r="L36" s="92">
        <v>1</v>
      </c>
      <c r="M36" s="92">
        <v>1</v>
      </c>
      <c r="N36" s="92">
        <v>1</v>
      </c>
      <c r="O36" s="92">
        <v>1</v>
      </c>
    </row>
    <row r="37" spans="1:15" s="5" customFormat="1" ht="15.75" customHeight="1" x14ac:dyDescent="0.25">
      <c r="B37" s="33" t="s">
        <v>79</v>
      </c>
      <c r="C37" s="92">
        <v>1</v>
      </c>
      <c r="D37" s="92">
        <v>1</v>
      </c>
      <c r="E37" s="92">
        <v>1</v>
      </c>
      <c r="F37" s="92">
        <v>1</v>
      </c>
      <c r="G37" s="92">
        <v>1</v>
      </c>
      <c r="H37" s="92">
        <v>1</v>
      </c>
      <c r="I37" s="92">
        <v>1</v>
      </c>
      <c r="J37" s="92">
        <v>1</v>
      </c>
      <c r="K37" s="92">
        <v>1</v>
      </c>
      <c r="L37" s="92">
        <v>1</v>
      </c>
      <c r="M37" s="92">
        <v>1</v>
      </c>
      <c r="N37" s="92">
        <v>1</v>
      </c>
      <c r="O37" s="92">
        <v>1</v>
      </c>
    </row>
    <row r="38" spans="1:15" s="5" customFormat="1" ht="15.75" customHeight="1" x14ac:dyDescent="0.25">
      <c r="B38" s="33" t="s">
        <v>80</v>
      </c>
      <c r="C38" s="92">
        <v>1</v>
      </c>
      <c r="D38" s="92">
        <v>1</v>
      </c>
      <c r="E38" s="92">
        <v>1</v>
      </c>
      <c r="F38" s="92">
        <v>1</v>
      </c>
      <c r="G38" s="92">
        <v>1</v>
      </c>
      <c r="H38" s="92">
        <v>1</v>
      </c>
      <c r="I38" s="92">
        <v>1</v>
      </c>
      <c r="J38" s="92">
        <v>1</v>
      </c>
      <c r="K38" s="92">
        <v>1</v>
      </c>
      <c r="L38" s="92">
        <v>1</v>
      </c>
      <c r="M38" s="92">
        <v>1</v>
      </c>
      <c r="N38" s="92">
        <v>1</v>
      </c>
      <c r="O38" s="92">
        <v>1</v>
      </c>
    </row>
    <row r="39" spans="1:15" ht="15.75" customHeight="1" x14ac:dyDescent="0.25">
      <c r="B39" s="33"/>
    </row>
  </sheetData>
  <sheetProtection algorithmName="SHA-512" hashValue="8AA2I9UZPCvjoGOxL0MMyqqXoHDNS7n4JtfrsQRho74JNJJKUigxuy0/aEjLs4m9INQV0OZqejhY0qqpkSRx4A==" saltValue="BKXFXqwFrNK8M/n7gCZbMQ==" spinCount="100000" sheet="1" scenarios="1" selectLockedCells="1"/>
  <sortState xmlns:xlrd2="http://schemas.microsoft.com/office/spreadsheetml/2017/richdata2" ref="B14:O21">
    <sortCondition ref="B14:B21"/>
  </sortState>
  <pageMargins left="0.75" right="0.75" top="1" bottom="1" header="0.5" footer="0.5"/>
  <pageSetup paperSize="9"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target population</vt:lpstr>
      <vt:lpstr>Programs cost and coverage</vt:lpstr>
      <vt:lpstr>IYCF cost</vt:lpstr>
      <vt:lpstr>Program dependencies</vt:lpstr>
      <vt:lpstr>Reference programs</vt:lpstr>
      <vt:lpstr>Incidence of conditions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Dom Delport</cp:lastModifiedBy>
  <dcterms:created xsi:type="dcterms:W3CDTF">2017-08-01T10:42:13Z</dcterms:created>
  <dcterms:modified xsi:type="dcterms:W3CDTF">2020-03-24T06:48:45Z</dcterms:modified>
</cp:coreProperties>
</file>