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Optima Nutrition Work\SDG project data\Modelling\Optima\inputs\"/>
    </mc:Choice>
  </mc:AlternateContent>
  <xr:revisionPtr revIDLastSave="0" documentId="8_{0A812E09-1447-4104-ACFE-54A6F8BA6D31}" xr6:coauthVersionLast="45" xr6:coauthVersionMax="45" xr10:uidLastSave="{00000000-0000-0000-0000-000000000000}"/>
  <bookViews>
    <workbookView xWindow="-110" yWindow="-110" windowWidth="19420" windowHeight="10420" tabRatio="894" firstSheet="2" activeTab="1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state="hidden" r:id="rId7"/>
    <sheet name="Treatment of SAM" sheetId="60" state="hidden" r:id="rId8"/>
    <sheet name="Programs target population" sheetId="21" state="hidden" r:id="rId9"/>
    <sheet name="Programs cost and coverage" sheetId="56" r:id="rId10"/>
    <sheet name="IYCF cost" sheetId="57" state="hidden" r:id="rId11"/>
    <sheet name="Program dependencies" sheetId="58" r:id="rId12"/>
    <sheet name="Reference programs" sheetId="59" state="hidden" r:id="rId13"/>
    <sheet name="Incidence of conditions" sheetId="7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C11" i="51"/>
  <c r="C10" i="51"/>
  <c r="C14" i="51"/>
  <c r="C15" i="5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/>
  <c r="G16" i="2"/>
  <c r="H16" i="2"/>
  <c r="I16" i="2" s="1"/>
  <c r="G17" i="2"/>
  <c r="H17" i="2"/>
  <c r="I17" i="2" s="1"/>
  <c r="G18" i="2"/>
  <c r="H18" i="2"/>
  <c r="G19" i="2"/>
  <c r="H19" i="2"/>
  <c r="I19" i="2"/>
  <c r="G20" i="2"/>
  <c r="H20" i="2"/>
  <c r="G21" i="2"/>
  <c r="H21" i="2"/>
  <c r="I21" i="2" s="1"/>
  <c r="G22" i="2"/>
  <c r="H22" i="2"/>
  <c r="G23" i="2"/>
  <c r="H23" i="2"/>
  <c r="I23" i="2" s="1"/>
  <c r="G24" i="2"/>
  <c r="H24" i="2"/>
  <c r="I24" i="2" s="1"/>
  <c r="G25" i="2"/>
  <c r="H25" i="2"/>
  <c r="I25" i="2" s="1"/>
  <c r="G26" i="2"/>
  <c r="H26" i="2"/>
  <c r="I26" i="2" s="1"/>
  <c r="G27" i="2"/>
  <c r="H27" i="2"/>
  <c r="I27" i="2" s="1"/>
  <c r="G28" i="2"/>
  <c r="H28" i="2"/>
  <c r="G29" i="2"/>
  <c r="H29" i="2"/>
  <c r="I29" i="2" s="1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I37" i="2" s="1"/>
  <c r="G38" i="2"/>
  <c r="H38" i="2"/>
  <c r="I38" i="2" s="1"/>
  <c r="G39" i="2"/>
  <c r="H39" i="2"/>
  <c r="I39" i="2"/>
  <c r="G40" i="2"/>
  <c r="H40" i="2"/>
  <c r="I40" i="2" s="1"/>
  <c r="I2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G5" i="50"/>
  <c r="F5" i="50"/>
  <c r="E5" i="50"/>
  <c r="D5" i="50"/>
  <c r="C5" i="50"/>
  <c r="C48" i="1"/>
  <c r="H3" i="2"/>
  <c r="H4" i="2"/>
  <c r="G4" i="2"/>
  <c r="H5" i="2"/>
  <c r="H6" i="2"/>
  <c r="H7" i="2"/>
  <c r="H8" i="2"/>
  <c r="H9" i="2"/>
  <c r="I9" i="2" s="1"/>
  <c r="H10" i="2"/>
  <c r="I10" i="2" s="1"/>
  <c r="H11" i="2"/>
  <c r="I11" i="2" s="1"/>
  <c r="H12" i="2"/>
  <c r="H13" i="2"/>
  <c r="H14" i="2"/>
  <c r="H15" i="2"/>
  <c r="C20" i="1"/>
  <c r="G3" i="2"/>
  <c r="G5" i="2"/>
  <c r="G6" i="2"/>
  <c r="G7" i="2"/>
  <c r="G8" i="2"/>
  <c r="G9" i="2"/>
  <c r="G10" i="2"/>
  <c r="G11" i="2"/>
  <c r="G12" i="2"/>
  <c r="G13" i="2"/>
  <c r="G14" i="2"/>
  <c r="G15" i="2"/>
  <c r="G2" i="2"/>
  <c r="I22" i="2"/>
  <c r="I18" i="2"/>
  <c r="I20" i="2"/>
  <c r="A3" i="2"/>
  <c r="A24" i="2"/>
  <c r="A18" i="2"/>
  <c r="A36" i="2"/>
  <c r="A40" i="2"/>
  <c r="A22" i="2"/>
  <c r="A25" i="2"/>
  <c r="A29" i="2"/>
  <c r="A27" i="2"/>
  <c r="A31" i="2"/>
  <c r="A20" i="2"/>
  <c r="A16" i="2"/>
  <c r="A19" i="2"/>
  <c r="A35" i="2"/>
  <c r="A28" i="2"/>
  <c r="A17" i="2"/>
  <c r="A33" i="2"/>
  <c r="A30" i="2"/>
  <c r="A26" i="2"/>
  <c r="A23" i="2"/>
  <c r="A39" i="2"/>
  <c r="A32" i="2"/>
  <c r="A21" i="2"/>
  <c r="A37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8" i="2"/>
  <c r="C8" i="51" l="1"/>
  <c r="C7" i="51"/>
  <c r="I15" i="2"/>
  <c r="I14" i="2"/>
  <c r="I13" i="2"/>
  <c r="I12" i="2"/>
  <c r="I8" i="2"/>
  <c r="I7" i="2"/>
  <c r="I6" i="2"/>
  <c r="I5" i="2"/>
  <c r="I4" i="2"/>
  <c r="I3" i="2"/>
  <c r="I2" i="2"/>
  <c r="C6" i="5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7" authorId="0" shapeId="0" xr:uid="{AA1553FD-6738-457A-9CC4-B3B4C86DDDA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7D26ABA1-BA06-4296-A4D5-754E6523389F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9" authorId="0" shapeId="0" xr:uid="{482C1A26-F3A9-4724-8A70-6DAC9CD894D2}">
      <text>
        <r>
          <rPr>
            <sz val="9"/>
            <color indexed="81"/>
            <rFont val="Tahoma"/>
            <charset val="1"/>
          </rPr>
          <t>Source: LiST [Percentage of women exposed]</t>
        </r>
      </text>
    </comment>
    <comment ref="C10" authorId="0" shapeId="0" xr:uid="{0234FBD2-D78B-4294-B511-37F442F9378B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11" authorId="0" shapeId="0" xr:uid="{F8C5170B-0358-4B83-9FB2-926D1DFC1307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2" authorId="0" shapeId="0" xr:uid="{0C4D4BD0-4F81-4739-9AD5-3E1B039AABB4}">
      <text>
        <r>
          <rPr>
            <sz val="9"/>
            <color indexed="81"/>
            <rFont val="Tahoma"/>
            <charset val="1"/>
          </rPr>
          <t>Source: Old WHO Global Health Observatory data [Filler data]</t>
        </r>
      </text>
    </comment>
    <comment ref="C13" authorId="0" shapeId="0" xr:uid="{F90C032F-55B8-41AF-B938-A374FC5B9A1D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6" authorId="0" shapeId="0" xr:uid="{0C4050C7-F3CA-4BAF-B1BA-2ED5982660A0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7" authorId="0" shapeId="0" xr:uid="{A22E7D77-CF73-4176-928D-0C4B486CBE34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8" authorId="0" shapeId="0" xr:uid="{676E0C62-C2DE-425A-93F5-DE1E1B2D2414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9" authorId="0" shapeId="0" xr:uid="{C9B6D2E2-C2AC-4158-B68F-9B79FEAF5F38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23" authorId="0" shapeId="0" xr:uid="{A7115378-9F46-4D9A-A92E-3095AEAB5C57}">
      <text>
        <r>
          <rPr>
            <sz val="9"/>
            <color indexed="81"/>
            <rFont val="Tahoma"/>
            <charset val="1"/>
          </rPr>
          <t>Source: LiST</t>
        </r>
      </text>
    </comment>
    <comment ref="C24" authorId="0" shapeId="0" xr:uid="{06253016-08B6-4B8A-8941-48AB529D9AA9}">
      <text>
        <r>
          <rPr>
            <sz val="9"/>
            <color indexed="81"/>
            <rFont val="Tahoma"/>
            <charset val="1"/>
          </rPr>
          <t>Source: LiST</t>
        </r>
      </text>
    </comment>
    <comment ref="C25" authorId="0" shapeId="0" xr:uid="{C81871A4-84FB-43D2-A1F3-4529BE25BBD7}">
      <text>
        <r>
          <rPr>
            <sz val="9"/>
            <color indexed="81"/>
            <rFont val="Tahoma"/>
            <charset val="1"/>
          </rPr>
          <t>Source: LiST</t>
        </r>
      </text>
    </comment>
    <comment ref="C26" authorId="0" shapeId="0" xr:uid="{7203587C-F0EB-4C9F-A9F7-985C08A8AC7D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FE5FBA9F-1D78-4A5D-B0B2-BFC10A954BE7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62F55891-E0BD-4444-AF14-1674AB1952F1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D3B9B706-C08C-43EA-A8C7-50E5A06BD0DC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0124D815-CAB1-4A0D-A7B7-575997BAE59D}">
      <text>
        <r>
          <rPr>
            <sz val="9"/>
            <color indexed="81"/>
            <rFont val="Tahoma"/>
            <charset val="1"/>
          </rPr>
          <t>Source: LiST</t>
        </r>
      </text>
    </comment>
    <comment ref="C37" authorId="0" shapeId="0" xr:uid="{F388BF70-EEBE-432F-A6DF-A822E84089F2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8" authorId="0" shapeId="0" xr:uid="{1A03D557-BFCA-4079-8C10-7EBCCE743585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9" authorId="0" shapeId="0" xr:uid="{C37BBA9C-B628-420E-B495-BE58793E42FE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40" authorId="0" shapeId="0" xr:uid="{CEE952D0-302C-4B82-A609-EE2AB3D9FB49}">
      <text>
        <r>
          <rPr>
            <sz val="9"/>
            <color indexed="81"/>
            <rFont val="Tahoma"/>
            <charset val="1"/>
          </rPr>
          <t>Source: UNICEF Data (2015) (Country level)</t>
        </r>
      </text>
    </comment>
    <comment ref="C41" authorId="0" shapeId="0" xr:uid="{C2EC3401-CD2D-4D6B-8B6C-2F545F04DBF7}">
      <text>
        <r>
          <rPr>
            <sz val="9"/>
            <color indexed="81"/>
            <rFont val="Tahoma"/>
            <charset val="1"/>
          </rPr>
          <t>Source: LiST</t>
        </r>
      </text>
    </comment>
    <comment ref="C42" authorId="0" shapeId="0" xr:uid="{3E5D79B4-F0BF-4C38-8898-B1C3B25AFD86}">
      <text>
        <r>
          <rPr>
            <sz val="9"/>
            <color indexed="81"/>
            <rFont val="Tahoma"/>
            <charset val="1"/>
          </rPr>
          <t>Source: WHO Global Health Observatory (2015) (Country level)</t>
        </r>
      </text>
    </comment>
    <comment ref="C45" authorId="0" shapeId="0" xr:uid="{89D7AB91-5479-4F6F-A1C8-E7C5C6B5C3E2}">
      <text>
        <r>
          <rPr>
            <sz val="9"/>
            <color indexed="81"/>
            <rFont val="Tahoma"/>
            <charset val="1"/>
          </rPr>
          <t>Source: LiST</t>
        </r>
      </text>
    </comment>
    <comment ref="C46" authorId="0" shapeId="0" xr:uid="{EAE51AC4-0376-4EE2-9E0A-BBD311D210E3}">
      <text>
        <r>
          <rPr>
            <sz val="9"/>
            <color indexed="81"/>
            <rFont val="Tahoma"/>
            <charset val="1"/>
          </rPr>
          <t>Source: LiST</t>
        </r>
      </text>
    </comment>
    <comment ref="C47" authorId="0" shapeId="0" xr:uid="{38736033-987C-41AA-B776-AFE89E348888}">
      <text>
        <r>
          <rPr>
            <sz val="9"/>
            <color indexed="81"/>
            <rFont val="Tahoma"/>
            <charset val="1"/>
          </rPr>
          <t>Source: LiST</t>
        </r>
      </text>
    </comment>
    <comment ref="C51" authorId="0" shapeId="0" xr:uid="{C67DF259-4BA1-469B-B6C7-9723549BF9B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2" authorId="0" shapeId="0" xr:uid="{BAA0305A-E722-4FD8-808D-874BACA13F3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3" authorId="0" shapeId="0" xr:uid="{F8EA1865-3874-49C1-BB13-23B8D9D04D1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4" authorId="0" shapeId="0" xr:uid="{8B71ABE8-A9DE-44BA-B6EA-CD733C41F3A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5" authorId="0" shapeId="0" xr:uid="{AB6534A8-0F99-42A4-A11B-718ACC5E29F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8" authorId="0" shapeId="0" xr:uid="{E46D634C-D8BD-495B-AFC3-5BB8FCB7C252}">
      <text>
        <r>
          <rPr>
            <sz val="9"/>
            <color indexed="81"/>
            <rFont val="Tahoma"/>
            <charset val="1"/>
          </rPr>
          <t>Source: Global burden of childhood pneumonia and diarrhoea &lt;https://www.sciencedirect.com/science/article/pii/S0140673613602226?via%3Dihub&gt; (Region level)</t>
        </r>
      </text>
    </comment>
    <comment ref="C59" authorId="0" shapeId="0" xr:uid="{3B8BFE2A-31DE-4F2E-81D6-C55CAC3EAEE3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AA5120AB-F291-49D1-9DA8-4CD01EA2FAC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2" authorId="0" shapeId="0" xr:uid="{D8999096-D71D-4D5A-B6BA-EFBF7A3E4D5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2" authorId="0" shapeId="0" xr:uid="{347AD4D0-4C08-4415-B84C-B39498EE29D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2" authorId="0" shapeId="0" xr:uid="{25B46225-A2F1-4FF1-AA64-F82CAD53E15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2" authorId="0" shapeId="0" xr:uid="{FBB9F11D-AB64-4107-8C7F-A1EC326D284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3" authorId="0" shapeId="0" xr:uid="{0497F4BF-037C-45E1-B0C6-DFF6F474967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3" authorId="0" shapeId="0" xr:uid="{F183F534-4D92-4E58-A5BF-C13F411A232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3" authorId="0" shapeId="0" xr:uid="{B4F3AA77-2805-450F-86E2-1C47440EB12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3" authorId="0" shapeId="0" xr:uid="{758EF60F-FEFD-4A17-B6C0-9AA9D8D8470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3" authorId="0" shapeId="0" xr:uid="{413FA090-77AF-49B4-BF70-FB504434262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4" authorId="0" shapeId="0" xr:uid="{522F6F66-6B90-4B5B-9435-87B25920987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4" authorId="0" shapeId="0" xr:uid="{5E2F59A8-F912-431F-BCCF-BB314098B13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4" authorId="0" shapeId="0" xr:uid="{05821189-22E5-4BA4-98AB-A272DCC47D6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4" authorId="0" shapeId="0" xr:uid="{4875956C-F364-4E68-8F9D-1ED11D4BE69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4" authorId="0" shapeId="0" xr:uid="{3D9A839D-6AF2-4728-8BE3-2D1990C868E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5" authorId="0" shapeId="0" xr:uid="{6ADF2297-849C-4F0B-8354-AF33F614A48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5" authorId="0" shapeId="0" xr:uid="{42E9E1AB-81C8-4F9A-B6CA-04831BC0F2E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5" authorId="0" shapeId="0" xr:uid="{3F94D373-D00C-4AF7-9D93-1F4A7FB1EF9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5" authorId="0" shapeId="0" xr:uid="{C46C44BA-B0BB-4EAF-994C-8ED0895C6D9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5" authorId="0" shapeId="0" xr:uid="{4B6CFF46-F36A-48F9-9234-B0F2E7E52A4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6" authorId="0" shapeId="0" xr:uid="{DD6D6318-F521-4753-A84C-507A8CF3C4C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6" authorId="0" shapeId="0" xr:uid="{9B46EE58-DE52-430E-B97B-915C51BD3AE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6" authorId="0" shapeId="0" xr:uid="{E5E0F19B-B409-4CB8-81A2-DE0052AC29E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6" authorId="0" shapeId="0" xr:uid="{6273BCA8-AD80-4D4F-8AE4-5B39EE54963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6" authorId="0" shapeId="0" xr:uid="{B719188B-9648-4562-A291-74286043055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7" authorId="0" shapeId="0" xr:uid="{9C344C3F-6F3B-4616-9B8D-F587AC466FD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7" authorId="0" shapeId="0" xr:uid="{38E9F9FB-2678-465C-8884-4A956E63FD2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7" authorId="0" shapeId="0" xr:uid="{2D6D1419-283A-4669-BE5D-04E00A1544F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7" authorId="0" shapeId="0" xr:uid="{A0357CC8-406D-49EC-BBF3-0F0F014E3DF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7" authorId="0" shapeId="0" xr:uid="{D42030C4-7E40-466E-9E2A-504AD175144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8" authorId="0" shapeId="0" xr:uid="{991E35ED-FE4E-40F1-90C8-CD8E3944DAF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4F5267EB-A81E-41EA-BCE1-C97ABA117AE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8" authorId="0" shapeId="0" xr:uid="{48802DD8-1308-408C-AED2-27B03EC4AE6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8" authorId="0" shapeId="0" xr:uid="{2CA0FC30-17CC-43AD-9FEA-44265A00114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8" authorId="0" shapeId="0" xr:uid="{334E39F7-496B-40E2-A69B-83DB5E41EAE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9" authorId="0" shapeId="0" xr:uid="{50151C70-6E60-4990-ADFC-446A174E8BD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9" authorId="0" shapeId="0" xr:uid="{B6319D41-979C-4050-870C-B8C810EDCBF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9" authorId="0" shapeId="0" xr:uid="{B659318B-9628-4973-9874-ABB874A8FC6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9" authorId="0" shapeId="0" xr:uid="{2B33DBF7-16B8-4FA7-AC64-BA4000A166B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9" authorId="0" shapeId="0" xr:uid="{871B8969-2350-49D0-B3B2-27921B2A79E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0" authorId="0" shapeId="0" xr:uid="{212FFD2B-6D8E-422D-A260-0056B8A0D6E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0" authorId="0" shapeId="0" xr:uid="{A23F5671-1B3A-4269-83D2-596C2E189BC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0" authorId="0" shapeId="0" xr:uid="{72CD1196-413B-44FD-90D5-1F16E50AA5A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0" authorId="0" shapeId="0" xr:uid="{EFCFF539-2DD2-4474-B72B-1BD6D9F397B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0" authorId="0" shapeId="0" xr:uid="{3EFC0F65-E2F6-4455-B5F6-D52C40E8C54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1" authorId="0" shapeId="0" xr:uid="{E9D509AD-5281-428F-8149-8EA7A91A693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1" authorId="0" shapeId="0" xr:uid="{6505B8EB-A28B-4E1E-BC56-3694F5908E9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1" authorId="0" shapeId="0" xr:uid="{310967FF-95B0-4F97-BCC3-521E3BEF62E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1" authorId="0" shapeId="0" xr:uid="{A6319714-4E17-4A3C-844C-C247BA9BDAB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1" authorId="0" shapeId="0" xr:uid="{D248AC6F-0DD7-4688-AA8A-93EE768B48E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2" authorId="0" shapeId="0" xr:uid="{2AA46CCA-E263-42FE-A6BC-5329A91FB7D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2" authorId="0" shapeId="0" xr:uid="{45CB4A76-D8BA-4D31-90FB-BA7B8D9BDB3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2" authorId="0" shapeId="0" xr:uid="{2417935F-1582-4E3F-B397-F5349E9EA21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2" authorId="0" shapeId="0" xr:uid="{F75ED795-F566-4312-90CE-4C20C95C49E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2" authorId="0" shapeId="0" xr:uid="{6C35221A-41AF-43ED-9027-39F1E95E7F9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3" authorId="0" shapeId="0" xr:uid="{77392938-89B0-4877-B7FC-0261DEC7516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3" authorId="0" shapeId="0" xr:uid="{9FBC1440-559E-403B-B968-3AF0F76E517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3" authorId="0" shapeId="0" xr:uid="{C0824241-FA45-4476-8186-B132A02A5E1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3" authorId="0" shapeId="0" xr:uid="{F3330BF2-EAF3-4371-8961-AE99743D6A0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3" authorId="0" shapeId="0" xr:uid="{7A50E91B-C397-4FE2-90DA-B43E1EC4569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4" authorId="0" shapeId="0" xr:uid="{66F40C43-8C7F-4B2C-85B7-2D8E6134AE1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4" authorId="0" shapeId="0" xr:uid="{A3B581F3-4106-4F3A-8B07-75E23AA1000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4" authorId="0" shapeId="0" xr:uid="{F9F83C7F-A01B-4A69-806F-BB1C4AAFB8E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4" authorId="0" shapeId="0" xr:uid="{678AA27B-3D64-4BCC-910F-451D7FDFE5E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4" authorId="0" shapeId="0" xr:uid="{FF2C233E-28E9-4945-A417-846383C9CFA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5" authorId="0" shapeId="0" xr:uid="{1B1BAF27-7F9C-43C3-A3D3-8F82B124F46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5" authorId="0" shapeId="0" xr:uid="{6751DC3D-69A3-4CED-B8FE-D8234B40169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5" authorId="0" shapeId="0" xr:uid="{DFE75E57-86B7-47B5-A1DE-601E43691C8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5" authorId="0" shapeId="0" xr:uid="{D772F68B-5F92-4FDC-B397-18DD8324C17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5" authorId="0" shapeId="0" xr:uid="{0011E53E-34DA-451D-B56D-671A4341A15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3" authorId="0" shapeId="0" xr:uid="{4FBA8529-B0CC-4CDF-8C42-70CD26E9190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193B6026-1B63-443D-84DE-E063564C9B1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" authorId="0" shapeId="0" xr:uid="{76AEB21E-FD02-43AA-A306-D394545EC56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6" authorId="0" shapeId="0" xr:uid="{DE2E17BE-7D9D-42B6-AF0E-426F27592AB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7" authorId="0" shapeId="0" xr:uid="{5E0957EF-2637-4155-A5E5-D19743190F2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8" authorId="0" shapeId="0" xr:uid="{843CE7E6-593F-484D-AF51-6395D54FDEF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9" authorId="0" shapeId="0" xr:uid="{98DEF3A6-2AD8-4E83-9636-EEC5D4163FE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0" authorId="0" shapeId="0" xr:uid="{5C58AC27-CF7B-4511-902C-000C14BCC6E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4" authorId="0" shapeId="0" xr:uid="{DCBBEB77-A4E7-4B12-937A-866F6B7E628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4" authorId="0" shapeId="0" xr:uid="{3FCC4628-B1C0-40C4-80BB-E0F2D0D8124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ECA11C4A-B06A-4B9F-B442-26045BD7AA5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4" authorId="0" shapeId="0" xr:uid="{3DE78AB9-5E04-4039-AC87-E0CDB7DFBDA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5" authorId="0" shapeId="0" xr:uid="{2B4A602C-8B2B-4480-8569-05651CCB668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5" authorId="0" shapeId="0" xr:uid="{EE1A2186-DFD2-4020-AF80-1AFEF3F6FED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5" authorId="0" shapeId="0" xr:uid="{BAE02B12-B387-42AF-B131-6864EA5AF2D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5" authorId="0" shapeId="0" xr:uid="{DFFF607B-784D-43AD-ABAA-C3E486AC868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6" authorId="0" shapeId="0" xr:uid="{9ED9C36F-F7A4-4E9D-9D52-9E0137E255F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6" authorId="0" shapeId="0" xr:uid="{8B85854D-647B-4E7C-B551-70741D76E78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6" authorId="0" shapeId="0" xr:uid="{2FCEF573-E7B6-4D41-BA2A-48E9DE7E8F8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6" authorId="0" shapeId="0" xr:uid="{259F2A06-07CD-4181-B876-0EACC0F8CB2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7" authorId="0" shapeId="0" xr:uid="{91AA99EB-7438-4D79-A289-51518B75943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7" authorId="0" shapeId="0" xr:uid="{8980790A-5253-4EFB-A714-3CAC7E67D52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7" authorId="0" shapeId="0" xr:uid="{D9667209-F4BC-47AC-84A0-917568925BA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7" authorId="0" shapeId="0" xr:uid="{81C3CE76-1FA9-4400-B719-29EECFF96DE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8" authorId="0" shapeId="0" xr:uid="{03CC1E58-3D03-4321-9D3E-DDF6A2D3556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8" authorId="0" shapeId="0" xr:uid="{24381751-9C5C-406A-A540-3840FA4559A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8" authorId="0" shapeId="0" xr:uid="{AC9F2AA5-1C58-4B67-B720-F595FFE683A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8" authorId="0" shapeId="0" xr:uid="{23B27F6B-45CD-4472-B83E-4C22F4F4175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9" authorId="0" shapeId="0" xr:uid="{DFB218DD-F020-4591-94F4-2366ED28876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9" authorId="0" shapeId="0" xr:uid="{26780AE5-42E7-4704-A579-113303E6436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9" authorId="0" shapeId="0" xr:uid="{7F457CC5-2018-4636-ADC8-AE15AF76D9F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9" authorId="0" shapeId="0" xr:uid="{AF979F63-B0C3-411C-BD97-55A26C60BB9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0" authorId="0" shapeId="0" xr:uid="{D7DC44D1-8797-4C97-9DC6-A8CF7393589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0" authorId="0" shapeId="0" xr:uid="{47A15883-A6A8-4F66-A24D-A3DDA7D957F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0" authorId="0" shapeId="0" xr:uid="{0D70AB9F-6D97-4BE0-B0FB-73C27E9FB7A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0" authorId="0" shapeId="0" xr:uid="{3F594EF8-EE02-4395-A2AA-B1EDC830BE8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1" authorId="0" shapeId="0" xr:uid="{53CCEC8F-8A8E-45AD-8759-5A40CEDDA88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1" authorId="0" shapeId="0" xr:uid="{6C6C7C07-ADAD-473A-B6C2-51814B0E1F4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1" authorId="0" shapeId="0" xr:uid="{EB19AC12-4B8D-4059-BE17-C1F0B256347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1" authorId="0" shapeId="0" xr:uid="{846B09DF-74E2-42BA-AD71-B3F5A126134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2" authorId="0" shapeId="0" xr:uid="{14B1AD32-2CC6-4AB4-BDE8-284D86278FC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2" authorId="0" shapeId="0" xr:uid="{184597F8-52B6-46BA-9833-1ACB122CAD0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2" authorId="0" shapeId="0" xr:uid="{B6FA732F-5C85-42A4-9DBE-40B8992B412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2" authorId="0" shapeId="0" xr:uid="{009F8CAB-3B67-4232-88B2-9EF9F23BE23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6" authorId="0" shapeId="0" xr:uid="{F501FC03-1DB3-43B4-B60C-A5F77371C105}">
      <text>
        <r>
          <rPr>
            <sz val="9"/>
            <color indexed="81"/>
            <rFont val="Tahoma"/>
            <charset val="1"/>
          </rPr>
          <t>Source: LiST</t>
        </r>
      </text>
    </comment>
    <comment ref="C27" authorId="0" shapeId="0" xr:uid="{B01F8DB1-6D8F-4F02-B8C1-E74C99AB232D}">
      <text>
        <r>
          <rPr>
            <sz val="9"/>
            <color indexed="81"/>
            <rFont val="Tahoma"/>
            <charset val="1"/>
          </rPr>
          <t>Source: LiST</t>
        </r>
      </text>
    </comment>
    <comment ref="C28" authorId="0" shapeId="0" xr:uid="{BDFF6136-9A60-4354-9072-06FA04DF434C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D918380C-323B-44B5-BC69-576D47592B3F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749B4905-635F-4FCF-8E21-AC7F6CA36A49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297F7853-3D6E-453C-A183-29F493F10410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82B3B5BC-6A48-428E-A539-AB656916A8EE}">
      <text>
        <r>
          <rPr>
            <sz val="9"/>
            <color indexed="81"/>
            <rFont val="Tahoma"/>
            <charset val="1"/>
          </rPr>
          <t>Source: LiST</t>
        </r>
      </text>
    </comment>
    <comment ref="C33" authorId="0" shapeId="0" xr:uid="{0613D16A-D4C9-4415-B054-7C4191730152}">
      <text>
        <r>
          <rPr>
            <sz val="9"/>
            <color indexed="81"/>
            <rFont val="Tahoma"/>
            <charset val="1"/>
          </rPr>
          <t>Source: LiST</t>
        </r>
      </text>
    </comment>
    <comment ref="C34" authorId="0" shapeId="0" xr:uid="{68792B49-525A-4282-82C3-5A52C1DCC266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C3E4635C-B087-45B8-A103-AB40D8CA92A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2" authorId="0" shapeId="0" xr:uid="{8732F80D-957F-4D0B-B934-49113334895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2" authorId="0" shapeId="0" xr:uid="{AC126A6E-B995-42DB-BEBD-50A6F529F93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2" authorId="0" shapeId="0" xr:uid="{38865F3A-A930-4F35-A695-F9BBB9231A4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2" authorId="0" shapeId="0" xr:uid="{D1AFDBE2-DBBC-4563-8B5E-ADDABFC2288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3" authorId="0" shapeId="0" xr:uid="{45EC79A7-72A1-4350-8F2B-97D5D67067A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3" authorId="0" shapeId="0" xr:uid="{C94D6C10-21A6-4F4F-BC26-FB8B18FE3DC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3" authorId="0" shapeId="0" xr:uid="{A5B1974B-D534-4FC7-9ECE-665C4436E54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3" authorId="0" shapeId="0" xr:uid="{F1FBDE7F-25B0-4FA1-B05A-9E569BACE70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3" authorId="0" shapeId="0" xr:uid="{5A4F8A13-3D02-48DE-A306-C7705AEA2AD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4" authorId="0" shapeId="0" xr:uid="{B901422F-AC03-4B74-89C0-542C309567D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4" authorId="0" shapeId="0" xr:uid="{117D32E6-7BE8-42E2-99D5-40020734AAF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4" authorId="0" shapeId="0" xr:uid="{94554458-787C-4575-893C-6AC9B7A0AAA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4" authorId="0" shapeId="0" xr:uid="{F34D202F-DB1D-436E-8926-F1255B94CD8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4" authorId="0" shapeId="0" xr:uid="{B5CF8FB3-2014-40A8-95B5-831AF9A8C8E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5" authorId="0" shapeId="0" xr:uid="{0549A796-F84F-4C4C-BE04-3224B70AC4E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5" authorId="0" shapeId="0" xr:uid="{A3A40C8B-FC2B-4459-B022-F37B15B8274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5" authorId="0" shapeId="0" xr:uid="{44AA72C3-0E73-4601-9858-0F4D7624008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5" authorId="0" shapeId="0" xr:uid="{AD4B851F-EB12-4A21-B7BB-E3167ADBFB0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5" authorId="0" shapeId="0" xr:uid="{EBB6288C-73B2-410B-9E01-736C8F1C266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8" authorId="0" shapeId="0" xr:uid="{2527D453-244E-4BF7-AB4B-9040A2C992E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8" authorId="0" shapeId="0" xr:uid="{6529AAFA-6E17-4027-BEF7-FCC8618AED9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8" authorId="0" shapeId="0" xr:uid="{4BDD5CB3-E99A-4BC3-AA35-3E3ADA6324D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8" authorId="0" shapeId="0" xr:uid="{21276E25-7CF1-454D-B375-C958ACA8210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8" authorId="0" shapeId="0" xr:uid="{214E70C6-DCE5-4D8F-8611-52F7ECC3558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9" authorId="0" shapeId="0" xr:uid="{4C9B691C-F4EC-4DE7-84F5-93316392E01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9" authorId="0" shapeId="0" xr:uid="{01AEF905-66BB-4ECC-99D2-A00B8D0758D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9" authorId="0" shapeId="0" xr:uid="{24CB21F1-A34E-4BE8-A708-7338CD95A69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9" authorId="0" shapeId="0" xr:uid="{789C0373-0EDF-4D6A-A38D-3713004CEBC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9" authorId="0" shapeId="0" xr:uid="{C5EB5313-FC3D-4E04-B32D-B1C68B7A875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0" authorId="0" shapeId="0" xr:uid="{BE733187-F3C5-4EDE-B750-9CCF71317F6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0" authorId="0" shapeId="0" xr:uid="{B6B27F42-4526-4A9E-B5FE-6C4A9BB3F95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0" authorId="0" shapeId="0" xr:uid="{8E9AAD13-3E85-4C33-9219-16A517A9B9F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0" authorId="0" shapeId="0" xr:uid="{2200B394-9B5C-4E6C-9548-EAE2D97DFA0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0" authorId="0" shapeId="0" xr:uid="{06D43E5D-A6A4-4C85-82A3-5833BA9E587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1" authorId="0" shapeId="0" xr:uid="{DB823FC2-0557-44C5-B7E0-5D4293888D1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1" authorId="0" shapeId="0" xr:uid="{08C66A83-4A64-47D6-982E-0C69FB0156F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1" authorId="0" shapeId="0" xr:uid="{BFA0E654-23E9-46FE-AC8E-A67AEFB6ADF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1" authorId="0" shapeId="0" xr:uid="{B3B9370B-868D-4CD4-AF24-6803B0C2BF9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1" authorId="0" shapeId="0" xr:uid="{D4833F85-36A9-47F7-9235-B51C2B39EC0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4" authorId="0" shapeId="0" xr:uid="{8FC5BC79-F77E-4FDB-95BB-9FE1634B2D1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4" authorId="0" shapeId="0" xr:uid="{2A8D1988-62DB-420F-A214-53764EA72F0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D4F61106-7976-496F-AF14-7BC3E803C0D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F14" authorId="0" shapeId="0" xr:uid="{64FFA3A8-92FF-4125-B0EC-9949B7A97E3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G14" authorId="0" shapeId="0" xr:uid="{28F69A95-C926-4C80-9672-DA7E32B0FE4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H14" authorId="0" shapeId="0" xr:uid="{18272F69-A70C-43CE-B7A8-C91CD54723ED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I14" authorId="0" shapeId="0" xr:uid="{58E854FC-7AA8-4386-97EE-5D84CAFE6B60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J14" authorId="0" shapeId="0" xr:uid="{BD8B499D-D112-4A93-9288-FDF4CB62950B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K14" authorId="0" shapeId="0" xr:uid="{FE4F90FB-58F5-43D0-A1DD-5CBE01E94171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L14" authorId="0" shapeId="0" xr:uid="{4A7F57B4-D0DF-4FDE-8FC3-CE5A042340E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4" authorId="0" shapeId="0" xr:uid="{75976115-6945-4BC7-B0AE-EA6FE07E4C9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4" authorId="0" shapeId="0" xr:uid="{505C8ECF-25C5-4E41-8EA9-B8587A9DD05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4" authorId="0" shapeId="0" xr:uid="{34B72E55-0693-4444-9CF8-852AA8D8408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  <author>Dominic Delport</author>
  </authors>
  <commentList>
    <comment ref="C2" authorId="0" shapeId="0" xr:uid="{5C1BA45C-1A61-485B-88D1-7E6AB24A89BF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" authorId="0" shapeId="0" xr:uid="{FF86584D-1460-4990-AA8A-591F7E5669CD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2" authorId="1" shapeId="0" xr:uid="{6B0A09E8-7C93-4372-8C15-8B0F45D5AEFD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3" authorId="0" shapeId="0" xr:uid="{AF77DBE6-0AF8-4343-AA97-E7497088765D}">
      <text>
        <r>
          <rPr>
            <sz val="9"/>
            <color indexed="81"/>
            <rFont val="Tahoma"/>
            <charset val="1"/>
          </rPr>
          <t>Source: LiST</t>
        </r>
      </text>
    </comment>
    <comment ref="D3" authorId="0" shapeId="0" xr:uid="{8A21F641-432B-4868-BC2B-4B29C57AA9B7}">
      <text>
        <r>
          <rPr>
            <sz val="9"/>
            <color indexed="81"/>
            <rFont val="Tahoma"/>
            <charset val="1"/>
          </rPr>
          <t>Source: LiST</t>
        </r>
      </text>
    </comment>
    <comment ref="G3" authorId="1" shapeId="0" xr:uid="{F82038E1-BF1B-4424-AEC2-4BAF11F0EBE0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4" authorId="0" shapeId="0" xr:uid="{50C8BDA7-E693-467C-AFF0-A1230AFB279C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4" authorId="0" shapeId="0" xr:uid="{049776F0-7E21-4ECB-B693-49D94ED058F0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E4" authorId="0" shapeId="0" xr:uid="{7342935B-681A-4ABC-BA75-E89FE561FCDA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F4" authorId="0" shapeId="0" xr:uid="{B052F32D-17F1-4696-979C-A826C4FE7093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4" authorId="1" shapeId="0" xr:uid="{FAE873A1-7BE6-4206-AB91-1C6BBEAAB062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DBD39821-07A9-4E36-B94B-55C9149E86C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2" authorId="0" shapeId="0" xr:uid="{F3040BF4-CC0B-4D19-ABB4-360EB5DFA0D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2" authorId="0" shapeId="0" xr:uid="{F19AA905-EB3A-4B3D-AF15-8BBB2E03678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2" authorId="0" shapeId="0" xr:uid="{88D521AB-5491-4D19-8265-A6DE4AE2ADF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2" authorId="0" shapeId="0" xr:uid="{4A155643-953D-46F4-A762-AF3EE667FCC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2" authorId="0" shapeId="0" xr:uid="{89B2585E-3B30-45C8-80EF-95199F1D8F9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2" authorId="0" shapeId="0" xr:uid="{29CC2F2E-F998-4EDD-A861-AD021D13BE1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2" authorId="0" shapeId="0" xr:uid="{5DF3DAB7-1DEA-4526-A914-5A2D06E914E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2" authorId="0" shapeId="0" xr:uid="{543EC768-E3FA-4208-A109-9CBA6B70894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2" authorId="0" shapeId="0" xr:uid="{DA0BE5B9-9BD6-42F5-939E-41B74A8D37E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2" authorId="0" shapeId="0" xr:uid="{80C3B377-D8B3-488B-983A-C9E4DA07AD6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2" authorId="0" shapeId="0" xr:uid="{7B014DF2-A528-4BE9-98B6-563687CB825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2" authorId="0" shapeId="0" xr:uid="{EA5DBE2B-7F19-4DF7-B1D8-E046B7710D8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2" authorId="0" shapeId="0" xr:uid="{C2CCCECB-DC86-45AA-A924-39DD6490E51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F4EE9F66-2B16-428D-8EF5-8222917BE47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4" authorId="0" shapeId="0" xr:uid="{FA02F541-6868-4FF5-B6AA-E77E093A3D1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4" authorId="0" shapeId="0" xr:uid="{7349C981-DA2B-4453-ABC5-B69157E85E5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4" authorId="0" shapeId="0" xr:uid="{AF25ECEF-4BDE-4731-802B-C5A81A083C2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4" authorId="0" shapeId="0" xr:uid="{4BB94F6D-BEAD-4682-96F0-683EC736A71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4" authorId="0" shapeId="0" xr:uid="{D835926C-A27D-418C-BE16-C38696C3B91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4" authorId="0" shapeId="0" xr:uid="{E87A66D7-5331-4128-B6E6-F0312395372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4" authorId="0" shapeId="0" xr:uid="{0BBB746C-B0E4-4112-9129-49CB350A892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4" authorId="0" shapeId="0" xr:uid="{4DB1544D-CB9B-49B1-9489-04D5A15E14E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4" authorId="0" shapeId="0" xr:uid="{55EDC1AE-F7DF-4C2E-9908-7E854EEDB32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4" authorId="0" shapeId="0" xr:uid="{1F6EE9FA-F296-47C1-81ED-460A849E780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4" authorId="0" shapeId="0" xr:uid="{F2BA2610-C235-4370-9A0E-CFD2F9EEAA3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4" authorId="0" shapeId="0" xr:uid="{501EC637-3521-40B6-B1AA-BC867C4B329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4" authorId="0" shapeId="0" xr:uid="{6E4C2AB3-D432-416F-B2D7-C10F4417BBA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3" authorId="0" shapeId="0" xr:uid="{5A8DFC70-C486-4D66-8C1A-0B3FF48BAE0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3" authorId="0" shapeId="0" xr:uid="{B99E6DCB-A5E6-400C-BBEC-C561117605C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13" authorId="0" shapeId="0" xr:uid="{A8A21331-B5DB-460C-906C-A22B52853D3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13" authorId="0" shapeId="0" xr:uid="{EEC23E8B-C609-447F-B51A-09BA9509483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13" authorId="0" shapeId="0" xr:uid="{F5DEAA9E-ADAC-4919-B2FE-578F1FADFBC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13" authorId="0" shapeId="0" xr:uid="{64707C93-D193-4235-A802-0D827392197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13" authorId="0" shapeId="0" xr:uid="{E7DC7D53-75AC-460A-9DC4-693D915BD30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13" authorId="0" shapeId="0" xr:uid="{45D7DDA6-76EE-475B-89BE-36E4CEF1046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13" authorId="0" shapeId="0" xr:uid="{225F04B5-9980-4A2D-8C5F-F87DD4A6F71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13" authorId="0" shapeId="0" xr:uid="{B9B73D99-9C97-44B4-B093-BC60134E28F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3" authorId="0" shapeId="0" xr:uid="{BAF79D56-4B5A-4AFF-A62E-A6FFC0BC4F5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3" authorId="0" shapeId="0" xr:uid="{11C0C963-CAE2-470F-8E31-4E5527ABF00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3" authorId="0" shapeId="0" xr:uid="{539C6B6B-3AC5-4935-BFBB-C99982A5EC4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13" authorId="0" shapeId="0" xr:uid="{2B2B102D-B028-41BC-8BD4-D2177B27A9B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AB132AE5-23B5-4843-AA9D-74031F2B8C9C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" authorId="0" shapeId="0" xr:uid="{D5104372-18AD-4FED-B5CE-D0404AF9FD8F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" authorId="0" shapeId="0" xr:uid="{D2FF00C6-4B42-491A-9EAB-29D5B5083768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3" authorId="0" shapeId="0" xr:uid="{37AAEC4B-3555-45D5-8F38-8085D040AEF3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D4" authorId="0" shapeId="0" xr:uid="{29C8D8B5-E88A-44DE-99B8-B88E1FD3E2B9}">
      <text>
        <r>
          <rPr>
            <sz val="9"/>
            <color indexed="81"/>
            <rFont val="Tahoma"/>
            <charset val="1"/>
          </rPr>
          <t>Source: 10% of GDP per capita</t>
        </r>
      </text>
    </comment>
    <comment ref="D5" authorId="0" shapeId="0" xr:uid="{CC41A99C-DB53-4355-953A-0D7182434AB5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B7" authorId="0" shapeId="0" xr:uid="{FB4EE8B1-30D3-427F-9ACA-91E387E226C4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7" authorId="0" shapeId="0" xr:uid="{F3E10706-7602-494C-9BB8-2BFC388E1784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8" authorId="0" shapeId="0" xr:uid="{B0ED0878-C9B0-4196-B924-1ED8A2CC210A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8" authorId="0" shapeId="0" xr:uid="{3D62D781-3DC8-4972-89DF-A6A789CCC6BA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9" authorId="0" shapeId="0" xr:uid="{321AC18F-A152-41CC-98CE-81DA111FE5A3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9" authorId="0" shapeId="0" xr:uid="{87CAFD6D-55B2-48A8-98D9-5B2DD5A04FF6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10" authorId="0" shapeId="0" xr:uid="{EB4E230B-B587-4054-8280-894F57FADCE2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0" authorId="0" shapeId="0" xr:uid="{197CC9C9-BBD2-4072-941C-A81648716F36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1" authorId="0" shapeId="0" xr:uid="{D7C8D4E3-7BAF-47E5-B012-24850361B22E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1" authorId="0" shapeId="0" xr:uid="{C2B713F7-EF3D-4CBA-B1CF-15B32526E788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2" authorId="0" shapeId="0" xr:uid="{57EF5394-F7E1-4F45-A944-7285CF1D7FBF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2" authorId="0" shapeId="0" xr:uid="{591435B0-7B82-4AD9-87E2-26ECEB4D7C42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3" authorId="0" shapeId="0" xr:uid="{3B787010-A6EC-46D9-A4C2-40880A3D86E3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3" authorId="0" shapeId="0" xr:uid="{BA4CCEAE-CFB0-4544-BB46-63DC893D5D63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4" authorId="0" shapeId="0" xr:uid="{BEE202F4-ED79-44F6-9336-5D976C6C9220}">
      <text>
        <r>
          <rPr>
            <sz val="9"/>
            <color indexed="81"/>
            <rFont val="Tahoma"/>
            <charset val="1"/>
          </rPr>
          <t>Source: LiST</t>
        </r>
      </text>
    </comment>
    <comment ref="D14" authorId="0" shapeId="0" xr:uid="{35D2FA65-29C4-4877-805A-8B943245DF80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5" authorId="0" shapeId="0" xr:uid="{5EF40135-8CF4-4903-86B2-735026B703E2}">
      <text>
        <r>
          <rPr>
            <sz val="9"/>
            <color indexed="81"/>
            <rFont val="Tahoma"/>
            <charset val="1"/>
          </rPr>
          <t>Source: LiST</t>
        </r>
      </text>
    </comment>
    <comment ref="D15" authorId="0" shapeId="0" xr:uid="{05290E58-6ABE-4053-994E-C3FC0997149F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6" authorId="0" shapeId="0" xr:uid="{0B196103-A881-42DB-BA80-80EA04FB4492}">
      <text>
        <r>
          <rPr>
            <sz val="9"/>
            <color indexed="81"/>
            <rFont val="Tahoma"/>
            <charset val="1"/>
          </rPr>
          <t>Source: LiST</t>
        </r>
      </text>
    </comment>
    <comment ref="D16" authorId="0" shapeId="0" xr:uid="{365AC05F-2931-40C4-8747-19F112B20307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7" authorId="0" shapeId="0" xr:uid="{0CD4D0D3-09AB-4DB3-B3D0-35532AA1C38C}">
      <text>
        <r>
          <rPr>
            <sz val="9"/>
            <color indexed="81"/>
            <rFont val="Tahoma"/>
            <charset val="1"/>
          </rPr>
          <t>Source: UNICEF State of the World's Children coverage map 2017 &lt;http://www.ign.org/cm_data/UNICEF_map.jpg&gt;</t>
        </r>
      </text>
    </comment>
    <comment ref="D17" authorId="0" shapeId="0" xr:uid="{2BB12514-8113-4CF7-9DA2-B0CDC46FCF57}">
      <text>
        <r>
          <rPr>
            <sz val="9"/>
            <color indexed="81"/>
            <rFont val="Tahoma"/>
            <charset val="1"/>
          </rPr>
          <t>Source: Costing based upon estimates by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8" authorId="0" shapeId="0" xr:uid="{F506B0FE-E017-4B87-9D22-F1B6B9BA65F1}">
      <text>
        <r>
          <rPr>
            <sz val="9"/>
            <color indexed="81"/>
            <rFont val="Tahoma"/>
            <charset val="1"/>
          </rPr>
          <t>Source: LiST</t>
        </r>
      </text>
    </comment>
    <comment ref="D18" authorId="0" shapeId="0" xr:uid="{DECA3C3D-8818-408A-8B72-973D5D07DC80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19" authorId="0" shapeId="0" xr:uid="{FD471182-57FC-43F8-B86D-334D81424F2E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20" authorId="0" shapeId="0" xr:uid="{835AABE3-185B-423A-BCB4-916F6CDEE726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1" authorId="0" shapeId="0" xr:uid="{FD5F3D5F-36DB-44E1-866D-CDD6F90CDBD5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1" authorId="0" shapeId="0" xr:uid="{12657731-8E8B-47A7-944D-D95CAB79BF78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D22" authorId="0" shapeId="0" xr:uid="{8F034D6B-E0D3-48B0-8660-40F9CDA93973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23" authorId="0" shapeId="0" xr:uid="{41AB2040-A5A9-4EC0-8C7F-F7E89ADF70C5}">
      <text>
        <r>
          <rPr>
            <sz val="9"/>
            <color indexed="81"/>
            <rFont val="Tahoma"/>
            <charset val="1"/>
          </rPr>
          <t>Source: LiST</t>
        </r>
      </text>
    </comment>
    <comment ref="D23" authorId="0" shapeId="0" xr:uid="{BDB28DE9-E462-4BF3-8091-F72B12DEB4C0}">
      <text>
        <r>
          <rPr>
            <sz val="9"/>
            <color indexed="81"/>
            <rFont val="Tahoma"/>
            <charset val="1"/>
          </rPr>
          <t>Source: Material costs taken from 2014 WHO International Drug Pricing &lt;http://apps.who.int/medicinedocs/documents/s21982en/s21982en.pdf&gt;,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4" authorId="0" shapeId="0" xr:uid="{C95226F4-22AB-4D3B-9B31-CA20DFC083E9}">
      <text>
        <r>
          <rPr>
            <sz val="9"/>
            <color indexed="81"/>
            <rFont val="Tahoma"/>
            <charset val="1"/>
          </rPr>
          <t>Source: LiST</t>
        </r>
      </text>
    </comment>
    <comment ref="D24" authorId="0" shapeId="0" xr:uid="{4BFDD89C-1511-4B0D-8169-2DC7B1058109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5" authorId="0" shapeId="0" xr:uid="{23E62AC8-E37E-48FD-A880-4917A9D3DCEA}">
      <text>
        <r>
          <rPr>
            <sz val="9"/>
            <color indexed="81"/>
            <rFont val="Tahoma"/>
            <charset val="1"/>
          </rPr>
          <t>Source: LiST</t>
        </r>
      </text>
    </comment>
    <comment ref="D25" authorId="0" shapeId="0" xr:uid="{DBDEA4BB-C447-412D-BD19-7936ADADFD00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6" authorId="0" shapeId="0" xr:uid="{29B81A64-BD6B-412E-9EC5-0B7CB03B5060}">
      <text>
        <r>
          <rPr>
            <sz val="9"/>
            <color indexed="81"/>
            <rFont val="Tahoma"/>
            <charset val="1"/>
          </rPr>
          <t>Source: LiST</t>
        </r>
      </text>
    </comment>
    <comment ref="D26" authorId="0" shapeId="0" xr:uid="{1A16B475-2C0C-46AA-9031-71DC8124F82D}">
      <text>
        <r>
          <rPr>
            <sz val="9"/>
            <color indexed="81"/>
            <rFont val="Tahoma"/>
            <charset val="1"/>
          </rPr>
          <t>Source: Drug dosages taken from WHO eLENA, drug costs taken from UNICEF pricing list at &lt;https://www.unicef.org/supply/files/Micro_Nutrient_Powder_-_September_2016(1).pdf&gt;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7" authorId="0" shapeId="0" xr:uid="{05D1B0D9-A376-45FC-86E2-2FFD0189330D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7" authorId="0" shapeId="0" xr:uid="{65C8D445-037B-4872-B4CC-1B53C215E05B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8" authorId="0" shapeId="0" xr:uid="{EF88E9AE-62AB-46C7-A1C5-4E19EE87F7CB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8" authorId="0" shapeId="0" xr:uid="{10DDAAF3-CB97-4D94-B064-2C4E85E69F16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9" authorId="0" shapeId="0" xr:uid="{A55B770F-041E-4D3F-9E0A-FD4E80C8E9B6}">
      <text>
        <r>
          <rPr>
            <sz val="9"/>
            <color indexed="81"/>
            <rFont val="Tahoma"/>
            <charset val="1"/>
          </rPr>
          <t>Source: LiST</t>
        </r>
      </text>
    </comment>
    <comment ref="D29" authorId="0" shapeId="0" xr:uid="{0280F605-36D3-4F34-A04A-278E5B9565F0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0" authorId="0" shapeId="0" xr:uid="{238BD308-8955-4E04-B013-0A842A439AB2}">
      <text>
        <r>
          <rPr>
            <sz val="9"/>
            <color indexed="81"/>
            <rFont val="Tahoma"/>
            <charset val="1"/>
          </rPr>
          <t>Source: LiST</t>
        </r>
      </text>
    </comment>
    <comment ref="D30" authorId="0" shapeId="0" xr:uid="{A265AE98-4219-48B6-B5F5-05224DFA3C43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31" authorId="0" shapeId="0" xr:uid="{016F7837-21A0-4976-8D7E-41E1749FC138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31" authorId="0" shapeId="0" xr:uid="{B7E1BCA7-015D-4431-9B33-90775819F7D3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2" authorId="0" shapeId="0" xr:uid="{867C9A03-755D-4923-AB35-6040E00A708E}">
      <text>
        <r>
          <rPr>
            <sz val="9"/>
            <color indexed="81"/>
            <rFont val="Tahoma"/>
            <charset val="1"/>
          </rPr>
          <t>Source: LiST</t>
        </r>
      </text>
    </comment>
    <comment ref="B33" authorId="0" shapeId="0" xr:uid="{CF5BFB63-7834-4906-99A0-6527F960DB13}">
      <text>
        <r>
          <rPr>
            <sz val="9"/>
            <color indexed="81"/>
            <rFont val="Tahoma"/>
            <charset val="1"/>
          </rPr>
          <t>Source: LiST</t>
        </r>
      </text>
    </comment>
    <comment ref="B34" authorId="0" shapeId="0" xr:uid="{94494C84-EA65-4401-B32F-995DC727FFB9}">
      <text>
        <r>
          <rPr>
            <sz val="9"/>
            <color indexed="81"/>
            <rFont val="Tahoma"/>
            <charset val="1"/>
          </rPr>
          <t>Source: LiST</t>
        </r>
      </text>
    </comment>
    <comment ref="B35" authorId="0" shapeId="0" xr:uid="{76B1C80F-EDA1-4ED4-A2D4-D90172560EA0}">
      <text>
        <r>
          <rPr>
            <sz val="9"/>
            <color indexed="81"/>
            <rFont val="Tahoma"/>
            <charset val="1"/>
          </rPr>
          <t>Source: LiST</t>
        </r>
      </text>
    </comment>
    <comment ref="B36" authorId="0" shapeId="0" xr:uid="{E34273C4-1BFA-4526-91F4-3B260E160B59}">
      <text>
        <r>
          <rPr>
            <sz val="9"/>
            <color indexed="81"/>
            <rFont val="Tahoma"/>
            <charset val="1"/>
          </rPr>
          <t>Source: LiST</t>
        </r>
      </text>
    </comment>
    <comment ref="B37" authorId="0" shapeId="0" xr:uid="{DECA1D4C-397D-4964-A31F-FDE760B06E8F}">
      <text>
        <r>
          <rPr>
            <sz val="9"/>
            <color indexed="81"/>
            <rFont val="Tahoma"/>
            <charset val="1"/>
          </rPr>
          <t>Source: LiST</t>
        </r>
      </text>
    </comment>
    <comment ref="D37" authorId="0" shapeId="0" xr:uid="{94D4E1FA-A470-436D-8A03-F137E430788E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8" authorId="0" shapeId="0" xr:uid="{A9D3562C-DB95-44EC-B617-80B4604389E1}">
      <text>
        <r>
          <rPr>
            <sz val="9"/>
            <color indexed="81"/>
            <rFont val="Tahoma"/>
            <charset val="1"/>
          </rPr>
          <t>Source: DHS</t>
        </r>
      </text>
    </comment>
    <comment ref="D38" authorId="0" shapeId="0" xr:uid="{0A810E42-019C-4914-A230-E3BF69FA0E4B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<sst xmlns="http://schemas.openxmlformats.org/spreadsheetml/2006/main" count="1102" uniqueCount="271">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</sst>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7" zoomScaleNormal="100" workbookViewId="0">
      <selection activeCell="C45" sqref="C45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3682272</v>
      </c>
    </row>
    <row r="8" spans="1:3" ht="15" customHeight="1" x14ac:dyDescent="0.25">
      <c r="B8" s="7" t="s">
        <v>106</v>
      </c>
      <c r="C8" s="70">
        <v>0.26899999999999996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0.81589927673339802</v>
      </c>
    </row>
    <row r="11" spans="1:3" ht="15" customHeight="1" x14ac:dyDescent="0.25">
      <c r="B11" s="7" t="s">
        <v>108</v>
      </c>
      <c r="C11" s="70">
        <v>0.89900000000000002</v>
      </c>
    </row>
    <row r="12" spans="1:3" ht="15" customHeight="1" x14ac:dyDescent="0.25">
      <c r="B12" s="7" t="s">
        <v>109</v>
      </c>
      <c r="C12" s="70">
        <v>0.64200000000000002</v>
      </c>
    </row>
    <row r="13" spans="1:3" ht="15" customHeight="1" x14ac:dyDescent="0.25">
      <c r="B13" s="7" t="s">
        <v>110</v>
      </c>
      <c r="C13" s="70">
        <v>0.13500000000000001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0.14069999999999999</v>
      </c>
    </row>
    <row r="24" spans="1:3" ht="15" customHeight="1" x14ac:dyDescent="0.25">
      <c r="B24" s="20" t="s">
        <v>102</v>
      </c>
      <c r="C24" s="71">
        <v>0.54339999999999999</v>
      </c>
    </row>
    <row r="25" spans="1:3" ht="15" customHeight="1" x14ac:dyDescent="0.25">
      <c r="B25" s="20" t="s">
        <v>103</v>
      </c>
      <c r="C25" s="71">
        <v>0.26979999999999998</v>
      </c>
    </row>
    <row r="26" spans="1:3" ht="15" customHeight="1" x14ac:dyDescent="0.25">
      <c r="B26" s="20" t="s">
        <v>104</v>
      </c>
      <c r="C26" s="71">
        <v>4.6100000000000002E-2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0.41</v>
      </c>
    </row>
    <row r="30" spans="1:3" ht="14.25" customHeight="1" x14ac:dyDescent="0.25">
      <c r="B30" s="30" t="s">
        <v>76</v>
      </c>
      <c r="C30" s="73">
        <v>4.2000000000000003E-2</v>
      </c>
    </row>
    <row r="31" spans="1:3" ht="14.25" customHeight="1" x14ac:dyDescent="0.25">
      <c r="B31" s="30" t="s">
        <v>77</v>
      </c>
      <c r="C31" s="73">
        <v>7.400000000000001E-2</v>
      </c>
    </row>
    <row r="32" spans="1:3" ht="14.25" customHeight="1" x14ac:dyDescent="0.25">
      <c r="B32" s="30" t="s">
        <v>78</v>
      </c>
      <c r="C32" s="73">
        <v>0.47400000001490111</v>
      </c>
    </row>
    <row r="33" spans="1:5" ht="13" x14ac:dyDescent="0.25">
      <c r="B33" s="32" t="s">
        <v>129</v>
      </c>
      <c r="C33" s="74">
        <f>SUM(C29:C32)</f>
        <v>1.0000000000149012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8</v>
      </c>
    </row>
    <row r="38" spans="1:5" ht="15" customHeight="1" x14ac:dyDescent="0.25">
      <c r="B38" s="16" t="s">
        <v>91</v>
      </c>
      <c r="C38" s="75">
        <v>12.7</v>
      </c>
      <c r="D38" s="17"/>
      <c r="E38" s="18"/>
    </row>
    <row r="39" spans="1:5" ht="15" customHeight="1" x14ac:dyDescent="0.25">
      <c r="B39" s="16" t="s">
        <v>90</v>
      </c>
      <c r="C39" s="75">
        <v>14.7</v>
      </c>
      <c r="D39" s="17"/>
      <c r="E39" s="17"/>
    </row>
    <row r="40" spans="1:5" ht="15" customHeight="1" x14ac:dyDescent="0.25">
      <c r="B40" s="16" t="s">
        <v>171</v>
      </c>
      <c r="C40" s="75">
        <v>0.64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8.1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1.84E-2</v>
      </c>
      <c r="D45" s="17"/>
    </row>
    <row r="46" spans="1:5" ht="15.75" customHeight="1" x14ac:dyDescent="0.25">
      <c r="B46" s="16" t="s">
        <v>11</v>
      </c>
      <c r="C46" s="71">
        <v>6.9900000000000004E-2</v>
      </c>
      <c r="D46" s="17"/>
    </row>
    <row r="47" spans="1:5" ht="15.75" customHeight="1" x14ac:dyDescent="0.25">
      <c r="B47" s="16" t="s">
        <v>12</v>
      </c>
      <c r="C47" s="71">
        <v>0.12369999999999999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0.78800000000000003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4.6024515448724994</v>
      </c>
      <c r="D51" s="17"/>
    </row>
    <row r="52" spans="1:4" ht="15" customHeight="1" x14ac:dyDescent="0.25">
      <c r="B52" s="16" t="s">
        <v>125</v>
      </c>
      <c r="C52" s="76">
        <v>3.51993897885</v>
      </c>
    </row>
    <row r="53" spans="1:4" ht="15.75" customHeight="1" x14ac:dyDescent="0.25">
      <c r="B53" s="16" t="s">
        <v>126</v>
      </c>
      <c r="C53" s="76">
        <v>3.51993897885</v>
      </c>
    </row>
    <row r="54" spans="1:4" ht="15.75" customHeight="1" x14ac:dyDescent="0.25">
      <c r="B54" s="16" t="s">
        <v>127</v>
      </c>
      <c r="C54" s="76">
        <v>1.7629412271299998</v>
      </c>
    </row>
    <row r="55" spans="1:4" ht="15.75" customHeight="1" x14ac:dyDescent="0.25">
      <c r="B55" s="16" t="s">
        <v>128</v>
      </c>
      <c r="C55" s="76">
        <v>1.7629412271299998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1.9347037484885126E-2</v>
      </c>
    </row>
    <row r="59" spans="1:4" ht="15.75" customHeight="1" x14ac:dyDescent="0.25">
      <c r="B59" s="16" t="s">
        <v>132</v>
      </c>
      <c r="C59" s="70">
        <v>0.6003883751506236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39"/>
  <sheetViews>
    <sheetView topLeftCell="A10" workbookViewId="0">
      <selection activeCell="B10" sqref="B10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2.26953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68.627832027235911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40.117680990539711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580.56053854484037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1.365047757601507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86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86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86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1.7171467050216054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1.7171467050216054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1.7171467050216054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1.7171467050216054</v>
      </c>
      <c r="E13" s="86" t="s">
        <v>202</v>
      </c>
    </row>
    <row r="14" spans="1:5" ht="15.75" customHeight="1" x14ac:dyDescent="0.25">
      <c r="A14" s="11" t="s">
        <v>187</v>
      </c>
      <c r="B14" s="85">
        <v>0.80700000000000005</v>
      </c>
      <c r="C14" s="85">
        <v>0.95</v>
      </c>
      <c r="D14" s="86">
        <v>13.249980434335622</v>
      </c>
      <c r="E14" s="86" t="s">
        <v>202</v>
      </c>
    </row>
    <row r="15" spans="1:5" ht="15.75" customHeight="1" x14ac:dyDescent="0.25">
      <c r="A15" s="11" t="s">
        <v>209</v>
      </c>
      <c r="B15" s="85">
        <v>0.80700000000000005</v>
      </c>
      <c r="C15" s="85">
        <v>0.95</v>
      </c>
      <c r="D15" s="86">
        <v>13.249980434335622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86">
        <v>0.95674623423097094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86">
        <v>0.13690448396621577</v>
      </c>
      <c r="E17" s="86" t="s">
        <v>202</v>
      </c>
    </row>
    <row r="18" spans="1:5" ht="16" customHeight="1" x14ac:dyDescent="0.25">
      <c r="A18" s="52" t="s">
        <v>173</v>
      </c>
      <c r="B18" s="85">
        <v>0.72299999999999998</v>
      </c>
      <c r="C18" s="85">
        <v>0.95</v>
      </c>
      <c r="D18" s="87">
        <v>13.333990390111007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v>13.333990390111007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v>13.333990390111007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15.80934844874062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22.989918807715906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86">
        <v>4.4279632813135015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18.812342372811546</v>
      </c>
      <c r="E24" s="86" t="s">
        <v>202</v>
      </c>
    </row>
    <row r="25" spans="1:5" ht="15.75" customHeight="1" x14ac:dyDescent="0.25">
      <c r="A25" s="52" t="s">
        <v>87</v>
      </c>
      <c r="B25" s="85">
        <v>0.65700000000000003</v>
      </c>
      <c r="C25" s="85">
        <v>0.95</v>
      </c>
      <c r="D25" s="86">
        <v>18.811424588973377</v>
      </c>
      <c r="E25" s="86" t="s">
        <v>202</v>
      </c>
    </row>
    <row r="26" spans="1:5" ht="15.75" customHeight="1" x14ac:dyDescent="0.25">
      <c r="A26" s="52" t="s">
        <v>137</v>
      </c>
      <c r="B26" s="85">
        <v>0.80700000000000005</v>
      </c>
      <c r="C26" s="85">
        <v>0.95</v>
      </c>
      <c r="D26" s="86">
        <v>5.7540354320378144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86">
        <v>8.9244735744192312</v>
      </c>
      <c r="E27" s="86" t="s">
        <v>202</v>
      </c>
    </row>
    <row r="28" spans="1:5" ht="15.75" customHeight="1" x14ac:dyDescent="0.25">
      <c r="A28" s="52" t="s">
        <v>84</v>
      </c>
      <c r="B28" s="85">
        <v>0.54100000000000004</v>
      </c>
      <c r="C28" s="85">
        <v>0.95</v>
      </c>
      <c r="D28" s="86">
        <v>2.1871660325533182</v>
      </c>
      <c r="E28" s="86" t="s">
        <v>202</v>
      </c>
    </row>
    <row r="29" spans="1:5" ht="15.75" customHeight="1" x14ac:dyDescent="0.25">
      <c r="A29" s="52" t="s">
        <v>58</v>
      </c>
      <c r="B29" s="85">
        <v>0.72299999999999998</v>
      </c>
      <c r="C29" s="85">
        <v>0.95</v>
      </c>
      <c r="D29" s="86">
        <v>137.83733365130874</v>
      </c>
      <c r="E29" s="86" t="s">
        <v>202</v>
      </c>
    </row>
    <row r="30" spans="1:5" ht="15.75" customHeight="1" x14ac:dyDescent="0.25">
      <c r="A30" s="52" t="s">
        <v>67</v>
      </c>
      <c r="B30" s="85">
        <v>1E-3</v>
      </c>
      <c r="C30" s="85">
        <v>0.95</v>
      </c>
      <c r="D30" s="86">
        <v>0.18877550177691579</v>
      </c>
      <c r="E30" s="86" t="s">
        <v>202</v>
      </c>
    </row>
    <row r="31" spans="1:5" ht="15.75" customHeight="1" x14ac:dyDescent="0.25">
      <c r="A31" s="52" t="s">
        <v>28</v>
      </c>
      <c r="B31" s="85">
        <v>0.44400000000000001</v>
      </c>
      <c r="C31" s="85">
        <v>0.95</v>
      </c>
      <c r="D31" s="86">
        <v>2.0787369710308385</v>
      </c>
      <c r="E31" s="86" t="s">
        <v>202</v>
      </c>
    </row>
    <row r="32" spans="1:5" ht="15.75" customHeight="1" x14ac:dyDescent="0.25">
      <c r="A32" s="52" t="s">
        <v>83</v>
      </c>
      <c r="B32" s="85">
        <v>0.17</v>
      </c>
      <c r="C32" s="85">
        <v>0.95</v>
      </c>
      <c r="D32" s="86">
        <v>1</v>
      </c>
      <c r="E32" s="86" t="s">
        <v>202</v>
      </c>
    </row>
    <row r="33" spans="1:6" ht="15.75" customHeight="1" x14ac:dyDescent="0.25">
      <c r="A33" s="52" t="s">
        <v>82</v>
      </c>
      <c r="B33" s="85">
        <v>0.53400000000000003</v>
      </c>
      <c r="C33" s="85">
        <v>0.95</v>
      </c>
      <c r="D33" s="86">
        <v>2.8</v>
      </c>
      <c r="E33" s="86" t="s">
        <v>202</v>
      </c>
    </row>
    <row r="34" spans="1:6" ht="15.75" customHeight="1" x14ac:dyDescent="0.25">
      <c r="A34" s="52" t="s">
        <v>81</v>
      </c>
      <c r="B34" s="85">
        <v>0.81099999999999994</v>
      </c>
      <c r="C34" s="85">
        <v>0.95</v>
      </c>
      <c r="D34" s="86">
        <v>50.26</v>
      </c>
      <c r="E34" s="86" t="s">
        <v>202</v>
      </c>
    </row>
    <row r="35" spans="1:6" ht="15.75" customHeight="1" x14ac:dyDescent="0.25">
      <c r="A35" s="52" t="s">
        <v>79</v>
      </c>
      <c r="B35" s="85">
        <v>0.91400000000000003</v>
      </c>
      <c r="C35" s="85">
        <v>0.95</v>
      </c>
      <c r="D35" s="86">
        <v>36.1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0.879</v>
      </c>
      <c r="C36" s="85">
        <v>0.95</v>
      </c>
      <c r="D36" s="86">
        <v>231.85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0</v>
      </c>
      <c r="C37" s="85">
        <v>0.95</v>
      </c>
      <c r="D37" s="86">
        <v>4.5834601320961585</v>
      </c>
      <c r="E37" s="86" t="s">
        <v>202</v>
      </c>
    </row>
    <row r="38" spans="1:6" ht="15.75" customHeight="1" x14ac:dyDescent="0.25">
      <c r="A38" s="52" t="s">
        <v>60</v>
      </c>
      <c r="B38" s="85">
        <v>0</v>
      </c>
      <c r="C38" s="85">
        <v>0.95</v>
      </c>
      <c r="D38" s="86">
        <v>2.0998591771452784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81640625" defaultRowHeight="15.5" x14ac:dyDescent="0.35"/>
  <cols>
    <col min="1" max="1" width="18.72656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tabSelected="1" workbookViewId="0">
      <selection activeCell="B6" sqref="B6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137</v>
      </c>
      <c r="B4" s="84" t="s">
        <v>136</v>
      </c>
      <c r="C4" s="84"/>
    </row>
    <row r="5" spans="1:3" x14ac:dyDescent="0.25">
      <c r="A5" s="89"/>
      <c r="B5" s="90"/>
      <c r="C5" s="90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4.6024515448724994</v>
      </c>
      <c r="C2" s="26">
        <f>'Baseline year population inputs'!C52</f>
        <v>3.51993897885</v>
      </c>
      <c r="D2" s="26">
        <f>'Baseline year population inputs'!C53</f>
        <v>3.51993897885</v>
      </c>
      <c r="E2" s="26">
        <f>'Baseline year population inputs'!C54</f>
        <v>1.7629412271299998</v>
      </c>
      <c r="F2" s="26">
        <f>'Baseline year population inputs'!C55</f>
        <v>1.7629412271299998</v>
      </c>
    </row>
    <row r="3" spans="1:6" ht="15.75" customHeight="1" x14ac:dyDescent="0.25">
      <c r="A3" s="3" t="s">
        <v>65</v>
      </c>
      <c r="B3" s="26">
        <f>frac_mam_1month * 2.6</f>
        <v>4.014565464E-2</v>
      </c>
      <c r="C3" s="26">
        <f>frac_mam_1_5months * 2.6</f>
        <v>4.014565464E-2</v>
      </c>
      <c r="D3" s="26">
        <f>frac_mam_6_11months * 2.6</f>
        <v>2.2929347480000001E-2</v>
      </c>
      <c r="E3" s="26">
        <f>frac_mam_12_23months * 2.6</f>
        <v>1.8336841380000003E-2</v>
      </c>
      <c r="F3" s="26">
        <f>frac_mam_24_59months * 2.6</f>
        <v>1.5340303957333334E-2</v>
      </c>
    </row>
    <row r="4" spans="1:6" ht="15.75" customHeight="1" x14ac:dyDescent="0.25">
      <c r="A4" s="3" t="s">
        <v>66</v>
      </c>
      <c r="B4" s="26">
        <f>frac_sam_1month * 2.6</f>
        <v>2.144704276E-2</v>
      </c>
      <c r="C4" s="26">
        <f>frac_sam_1_5months * 2.6</f>
        <v>2.144704276E-2</v>
      </c>
      <c r="D4" s="26">
        <f>frac_sam_6_11months * 2.6</f>
        <v>4.5555723200000004E-3</v>
      </c>
      <c r="E4" s="26">
        <f>frac_sam_12_23months * 2.6</f>
        <v>2.9675495200000004E-3</v>
      </c>
      <c r="F4" s="26">
        <f>frac_sam_24_59months * 2.6</f>
        <v>2.109169642666667E-3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1"/>
  <sheetViews>
    <sheetView zoomScale="50" zoomScaleNormal="50" workbookViewId="0">
      <selection activeCell="J39" sqref="J39"/>
    </sheetView>
  </sheetViews>
  <sheetFormatPr defaultColWidth="16.1796875" defaultRowHeight="15.75" customHeight="1" x14ac:dyDescent="0.35"/>
  <cols>
    <col min="1" max="1" width="22.26953125" style="57" bestFit="1" customWidth="1"/>
    <col min="2" max="2" width="58.81640625" style="57" bestFit="1" customWidth="1"/>
    <col min="3" max="3" width="9.453125" style="57" bestFit="1" customWidth="1"/>
    <col min="4" max="4" width="11.1796875" style="57" bestFit="1" customWidth="1"/>
    <col min="5" max="5" width="12" style="57" bestFit="1" customWidth="1"/>
    <col min="6" max="7" width="13.1796875" style="57" bestFit="1" customWidth="1"/>
    <col min="8" max="11" width="15.26953125" style="57" bestFit="1" customWidth="1"/>
    <col min="12" max="15" width="16.81640625" style="57" bestFit="1" customWidth="1"/>
    <col min="16" max="16384" width="16.17968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C19" sqref="C19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732304.30387499998</v>
      </c>
      <c r="C2" s="78">
        <v>1986542</v>
      </c>
      <c r="D2" s="78">
        <v>4095566</v>
      </c>
      <c r="E2" s="78">
        <v>3902866</v>
      </c>
      <c r="F2" s="78">
        <v>3315119</v>
      </c>
      <c r="G2" s="22">
        <f t="shared" ref="G2:G40" si="0">C2+D2+E2+F2</f>
        <v>13300093</v>
      </c>
      <c r="H2" s="22">
        <f t="shared" ref="H2:H40" si="1">(B2 + stillbirth*B2/(1000-stillbirth))/(1-abortion)</f>
        <v>848602.76732915919</v>
      </c>
      <c r="I2" s="22">
        <f>G2-H2</f>
        <v>12451490.23267084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725338.27166666673</v>
      </c>
      <c r="C3" s="78">
        <v>1988000</v>
      </c>
      <c r="D3" s="78">
        <v>4077000</v>
      </c>
      <c r="E3" s="78">
        <v>3939000</v>
      </c>
      <c r="F3" s="78">
        <v>3335000</v>
      </c>
      <c r="G3" s="22">
        <f t="shared" si="0"/>
        <v>13339000</v>
      </c>
      <c r="H3" s="22">
        <f t="shared" si="1"/>
        <v>840530.44796954957</v>
      </c>
      <c r="I3" s="22">
        <f t="shared" ref="I3:I15" si="3">G3-H3</f>
        <v>12498469.55203045</v>
      </c>
    </row>
    <row r="4" spans="1:9" ht="15.75" customHeight="1" x14ac:dyDescent="0.25">
      <c r="A4" s="7">
        <f t="shared" si="2"/>
        <v>2019</v>
      </c>
      <c r="B4" s="77">
        <v>717956.31666666677</v>
      </c>
      <c r="C4" s="78">
        <v>1987000</v>
      </c>
      <c r="D4" s="78">
        <v>4056000</v>
      </c>
      <c r="E4" s="78">
        <v>3969000</v>
      </c>
      <c r="F4" s="78">
        <v>3364000</v>
      </c>
      <c r="G4" s="22">
        <f t="shared" si="0"/>
        <v>13376000</v>
      </c>
      <c r="H4" s="22">
        <f t="shared" si="1"/>
        <v>831976.1524285411</v>
      </c>
      <c r="I4" s="22">
        <f t="shared" si="3"/>
        <v>12544023.847571459</v>
      </c>
    </row>
    <row r="5" spans="1:9" ht="15.75" customHeight="1" x14ac:dyDescent="0.25">
      <c r="A5" s="7">
        <f t="shared" si="2"/>
        <v>2020</v>
      </c>
      <c r="B5" s="77">
        <v>710161.02</v>
      </c>
      <c r="C5" s="78">
        <v>1980000</v>
      </c>
      <c r="D5" s="78">
        <v>4034000</v>
      </c>
      <c r="E5" s="78">
        <v>3994000</v>
      </c>
      <c r="F5" s="78">
        <v>3405000</v>
      </c>
      <c r="G5" s="22">
        <f t="shared" si="0"/>
        <v>13413000</v>
      </c>
      <c r="H5" s="22">
        <f t="shared" si="1"/>
        <v>822942.87174388405</v>
      </c>
      <c r="I5" s="22">
        <f t="shared" si="3"/>
        <v>12590057.128256116</v>
      </c>
    </row>
    <row r="6" spans="1:9" ht="15.75" customHeight="1" x14ac:dyDescent="0.25">
      <c r="A6" s="7">
        <f t="shared" si="2"/>
        <v>2021</v>
      </c>
      <c r="B6" s="77">
        <v>703734.69439999992</v>
      </c>
      <c r="C6" s="78">
        <v>1969000</v>
      </c>
      <c r="D6" s="78">
        <v>4013000</v>
      </c>
      <c r="E6" s="78">
        <v>4016000</v>
      </c>
      <c r="F6" s="78">
        <v>3458000</v>
      </c>
      <c r="G6" s="22">
        <f t="shared" si="0"/>
        <v>13456000</v>
      </c>
      <c r="H6" s="22">
        <f t="shared" si="1"/>
        <v>815495.97069597058</v>
      </c>
      <c r="I6" s="22">
        <f t="shared" si="3"/>
        <v>12640504.029304029</v>
      </c>
    </row>
    <row r="7" spans="1:9" ht="15.75" customHeight="1" x14ac:dyDescent="0.25">
      <c r="A7" s="7">
        <f t="shared" si="2"/>
        <v>2022</v>
      </c>
      <c r="B7" s="77">
        <v>696941.71259999997</v>
      </c>
      <c r="C7" s="78">
        <v>1953000</v>
      </c>
      <c r="D7" s="78">
        <v>3991000</v>
      </c>
      <c r="E7" s="78">
        <v>4032000</v>
      </c>
      <c r="F7" s="78">
        <v>3525000</v>
      </c>
      <c r="G7" s="22">
        <f t="shared" si="0"/>
        <v>13501000</v>
      </c>
      <c r="H7" s="22">
        <f t="shared" si="1"/>
        <v>807624.18416761979</v>
      </c>
      <c r="I7" s="22">
        <f t="shared" si="3"/>
        <v>12693375.81583238</v>
      </c>
    </row>
    <row r="8" spans="1:9" ht="15.75" customHeight="1" x14ac:dyDescent="0.25">
      <c r="A8" s="7">
        <f t="shared" si="2"/>
        <v>2023</v>
      </c>
      <c r="B8" s="77">
        <v>689805.73280000011</v>
      </c>
      <c r="C8" s="78">
        <v>1933000</v>
      </c>
      <c r="D8" s="78">
        <v>3970000</v>
      </c>
      <c r="E8" s="78">
        <v>4043000</v>
      </c>
      <c r="F8" s="78">
        <v>3598000</v>
      </c>
      <c r="G8" s="22">
        <f t="shared" si="0"/>
        <v>13544000</v>
      </c>
      <c r="H8" s="22">
        <f t="shared" si="1"/>
        <v>799354.92755688913</v>
      </c>
      <c r="I8" s="22">
        <f t="shared" si="3"/>
        <v>12744645.072443111</v>
      </c>
    </row>
    <row r="9" spans="1:9" ht="15.75" customHeight="1" x14ac:dyDescent="0.25">
      <c r="A9" s="7">
        <f t="shared" si="2"/>
        <v>2024</v>
      </c>
      <c r="B9" s="77">
        <v>682323.03760000016</v>
      </c>
      <c r="C9" s="78">
        <v>1912000</v>
      </c>
      <c r="D9" s="78">
        <v>3948000</v>
      </c>
      <c r="E9" s="78">
        <v>4046000</v>
      </c>
      <c r="F9" s="78">
        <v>3668000</v>
      </c>
      <c r="G9" s="22">
        <f t="shared" si="0"/>
        <v>13574000</v>
      </c>
      <c r="H9" s="22">
        <f t="shared" si="1"/>
        <v>790683.89309730672</v>
      </c>
      <c r="I9" s="22">
        <f t="shared" si="3"/>
        <v>12783316.106902692</v>
      </c>
    </row>
    <row r="10" spans="1:9" ht="15.75" customHeight="1" x14ac:dyDescent="0.25">
      <c r="A10" s="7">
        <f t="shared" si="2"/>
        <v>2025</v>
      </c>
      <c r="B10" s="77">
        <v>674516.83200000005</v>
      </c>
      <c r="C10" s="78">
        <v>1892000</v>
      </c>
      <c r="D10" s="78">
        <v>3926000</v>
      </c>
      <c r="E10" s="78">
        <v>4042000</v>
      </c>
      <c r="F10" s="78">
        <v>3729000</v>
      </c>
      <c r="G10" s="22">
        <f t="shared" si="0"/>
        <v>13589000</v>
      </c>
      <c r="H10" s="22">
        <f t="shared" si="1"/>
        <v>781637.97101348522</v>
      </c>
      <c r="I10" s="22">
        <f t="shared" si="3"/>
        <v>12807362.028986515</v>
      </c>
    </row>
    <row r="11" spans="1:9" ht="15.75" customHeight="1" x14ac:dyDescent="0.25">
      <c r="A11" s="7">
        <f t="shared" si="2"/>
        <v>2026</v>
      </c>
      <c r="B11" s="77">
        <v>668985.08120000002</v>
      </c>
      <c r="C11" s="78">
        <v>1873000</v>
      </c>
      <c r="D11" s="78">
        <v>3907000</v>
      </c>
      <c r="E11" s="78">
        <v>4036000</v>
      </c>
      <c r="F11" s="78">
        <v>3783000</v>
      </c>
      <c r="G11" s="22">
        <f t="shared" si="0"/>
        <v>13599000</v>
      </c>
      <c r="H11" s="22">
        <f t="shared" si="1"/>
        <v>775227.71367617941</v>
      </c>
      <c r="I11" s="22">
        <f t="shared" si="3"/>
        <v>12823772.286323821</v>
      </c>
    </row>
    <row r="12" spans="1:9" ht="15.75" customHeight="1" x14ac:dyDescent="0.25">
      <c r="A12" s="7">
        <f t="shared" si="2"/>
        <v>2027</v>
      </c>
      <c r="B12" s="77">
        <v>663162.52240000013</v>
      </c>
      <c r="C12" s="78">
        <v>1854000</v>
      </c>
      <c r="D12" s="78">
        <v>3890000</v>
      </c>
      <c r="E12" s="78">
        <v>4023000</v>
      </c>
      <c r="F12" s="78">
        <v>3827000</v>
      </c>
      <c r="G12" s="22">
        <f t="shared" si="0"/>
        <v>13594000</v>
      </c>
      <c r="H12" s="22">
        <f t="shared" si="1"/>
        <v>768480.46463712398</v>
      </c>
      <c r="I12" s="22">
        <f t="shared" si="3"/>
        <v>12825519.535362877</v>
      </c>
    </row>
    <row r="13" spans="1:9" ht="15.75" customHeight="1" x14ac:dyDescent="0.25">
      <c r="A13" s="7">
        <f t="shared" si="2"/>
        <v>2028</v>
      </c>
      <c r="B13" s="77">
        <v>657069.60600000015</v>
      </c>
      <c r="C13" s="78">
        <v>1836000</v>
      </c>
      <c r="D13" s="78">
        <v>3871000</v>
      </c>
      <c r="E13" s="78">
        <v>4005000</v>
      </c>
      <c r="F13" s="78">
        <v>3864000</v>
      </c>
      <c r="G13" s="22">
        <f t="shared" si="0"/>
        <v>13576000</v>
      </c>
      <c r="H13" s="22">
        <f t="shared" si="1"/>
        <v>761419.92205832782</v>
      </c>
      <c r="I13" s="22">
        <f t="shared" si="3"/>
        <v>12814580.077941673</v>
      </c>
    </row>
    <row r="14" spans="1:9" ht="15.75" customHeight="1" x14ac:dyDescent="0.25">
      <c r="A14" s="7">
        <f t="shared" si="2"/>
        <v>2029</v>
      </c>
      <c r="B14" s="77">
        <v>650713.77440000011</v>
      </c>
      <c r="C14" s="78">
        <v>1818000</v>
      </c>
      <c r="D14" s="78">
        <v>3850000</v>
      </c>
      <c r="E14" s="78">
        <v>3984000</v>
      </c>
      <c r="F14" s="78">
        <v>3894000</v>
      </c>
      <c r="G14" s="22">
        <f t="shared" si="0"/>
        <v>13546000</v>
      </c>
      <c r="H14" s="22">
        <f t="shared" si="1"/>
        <v>754054.71027970244</v>
      </c>
      <c r="I14" s="22">
        <f t="shared" si="3"/>
        <v>12791945.289720297</v>
      </c>
    </row>
    <row r="15" spans="1:9" ht="15.75" customHeight="1" x14ac:dyDescent="0.25">
      <c r="A15" s="7">
        <f t="shared" si="2"/>
        <v>2030</v>
      </c>
      <c r="B15" s="77">
        <v>644090.348</v>
      </c>
      <c r="C15" s="78">
        <v>1800000</v>
      </c>
      <c r="D15" s="78">
        <v>3822000</v>
      </c>
      <c r="E15" s="78">
        <v>3962000</v>
      </c>
      <c r="F15" s="78">
        <v>3919000</v>
      </c>
      <c r="G15" s="22">
        <f t="shared" si="0"/>
        <v>13503000</v>
      </c>
      <c r="H15" s="22">
        <f t="shared" si="1"/>
        <v>746379.40652619558</v>
      </c>
      <c r="I15" s="22">
        <f t="shared" si="3"/>
        <v>12756620.593473805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>
        <v>110</v>
      </c>
      <c r="C17" s="77"/>
      <c r="D17" s="78"/>
      <c r="E17" s="78"/>
      <c r="F17" s="78"/>
      <c r="G17" s="22">
        <f t="shared" si="0"/>
        <v>0</v>
      </c>
      <c r="H17" s="22">
        <f t="shared" si="1"/>
        <v>127.46928279987439</v>
      </c>
      <c r="I17" s="22">
        <f t="shared" si="4"/>
        <v>-127.46928279987439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G15" sqref="G15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6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6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6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6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6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6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6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6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6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6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6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6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6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6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6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6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6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6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6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6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6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6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6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6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6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6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6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6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6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6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6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6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6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6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6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6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6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6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6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6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6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6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6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6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6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D3" sqref="D3"/>
    </sheetView>
  </sheetViews>
  <sheetFormatPr defaultColWidth="12.7265625" defaultRowHeight="12.5" x14ac:dyDescent="0.25"/>
  <cols>
    <col min="1" max="1" width="25.7265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</v>
      </c>
      <c r="D4" s="141">
        <v>0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</v>
      </c>
      <c r="D6" s="141">
        <v>0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0.08</v>
      </c>
      <c r="D12" s="141">
        <v>0.08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H1" workbookViewId="0">
      <selection activeCell="E19" sqref="E19:O20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0.97599999999999998</v>
      </c>
      <c r="F20" s="141">
        <v>0.97599999999999998</v>
      </c>
      <c r="G20" s="141">
        <v>0.97599999999999998</v>
      </c>
      <c r="H20" s="141">
        <v>0.97599999999999998</v>
      </c>
      <c r="I20" s="141">
        <v>0.97599999999999998</v>
      </c>
      <c r="J20" s="141">
        <v>0.97599999999999998</v>
      </c>
      <c r="K20" s="141">
        <v>0.97599999999999998</v>
      </c>
      <c r="L20" s="141">
        <v>0.97599999999999998</v>
      </c>
      <c r="M20" s="141">
        <v>0.97599999999999998</v>
      </c>
      <c r="N20" s="141">
        <v>0.97599999999999998</v>
      </c>
      <c r="O20" s="141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D5" sqref="D5:G5"/>
    </sheetView>
  </sheetViews>
  <sheetFormatPr defaultColWidth="12.7265625" defaultRowHeight="12.5" x14ac:dyDescent="0.25"/>
  <cols>
    <col min="1" max="1" width="21.26953125" style="35" customWidth="1"/>
    <col min="2" max="2" width="27.269531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0.22</v>
      </c>
      <c r="E3" s="141">
        <v>0.22</v>
      </c>
      <c r="F3" s="141">
        <v>0.22</v>
      </c>
      <c r="G3" s="141">
        <v>0.22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0.16</v>
      </c>
      <c r="E5" s="141">
        <v>0.16</v>
      </c>
      <c r="F5" s="141">
        <v>0.16</v>
      </c>
      <c r="G5" s="141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49"/>
  <sheetViews>
    <sheetView topLeftCell="C11" zoomScale="111" workbookViewId="0">
      <selection activeCell="E43" sqref="E43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0.36</v>
      </c>
      <c r="G3" s="141">
        <v>0.36</v>
      </c>
      <c r="H3" s="141">
        <v>0.36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0.45</v>
      </c>
      <c r="G4" s="141">
        <v>0.45</v>
      </c>
      <c r="H4" s="141">
        <v>0.45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0.8</v>
      </c>
      <c r="G13" s="141">
        <v>0.8</v>
      </c>
      <c r="H13" s="141">
        <v>0.8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0.85</v>
      </c>
      <c r="G14" s="141">
        <v>0.85</v>
      </c>
      <c r="H14" s="141">
        <v>0.85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0.8</v>
      </c>
      <c r="G15" s="141">
        <v>0.8</v>
      </c>
      <c r="H15" s="141">
        <v>0.8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0.75</v>
      </c>
      <c r="G16" s="141">
        <v>0.75</v>
      </c>
      <c r="H16" s="141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0.19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0.19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0.19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0.5</v>
      </c>
      <c r="E42" s="141">
        <v>0.5</v>
      </c>
      <c r="F42" s="141">
        <v>0.5</v>
      </c>
      <c r="G42" s="141">
        <v>0.5</v>
      </c>
      <c r="H42" s="141">
        <v>0.5</v>
      </c>
    </row>
    <row r="43" spans="1:8" x14ac:dyDescent="0.25">
      <c r="C43" s="52" t="s">
        <v>270</v>
      </c>
      <c r="D43" s="141">
        <v>0.63</v>
      </c>
      <c r="E43" s="141">
        <v>0.63</v>
      </c>
      <c r="F43" s="141">
        <v>0.63</v>
      </c>
      <c r="G43" s="141">
        <v>0.63</v>
      </c>
      <c r="H43" s="141">
        <v>0.63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0.8</v>
      </c>
      <c r="E45" s="141">
        <v>0.8</v>
      </c>
      <c r="F45" s="141">
        <v>0.8</v>
      </c>
      <c r="G45" s="141">
        <v>0.8</v>
      </c>
      <c r="H45" s="141">
        <v>0.8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0.76</v>
      </c>
      <c r="E47" s="141">
        <v>0.76</v>
      </c>
      <c r="F47" s="141">
        <v>0.76</v>
      </c>
      <c r="G47" s="141">
        <v>0.76</v>
      </c>
      <c r="H47" s="141">
        <v>0.76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0.88</v>
      </c>
      <c r="E49" s="141">
        <v>0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topLeftCell="C1" workbookViewId="0">
      <selection activeCell="D7" sqref="D7:G7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0.59</v>
      </c>
      <c r="E7" s="141">
        <v>0.59</v>
      </c>
      <c r="F7" s="141">
        <v>0.59</v>
      </c>
      <c r="G7" s="141">
        <v>0.59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5.9094937499999996E-3</v>
      </c>
    </row>
    <row r="4" spans="1:8" ht="15.75" customHeight="1" x14ac:dyDescent="0.25">
      <c r="B4" s="24" t="s">
        <v>7</v>
      </c>
      <c r="C4" s="79">
        <v>0.19347157678582425</v>
      </c>
    </row>
    <row r="5" spans="1:8" ht="15.75" customHeight="1" x14ac:dyDescent="0.25">
      <c r="B5" s="24" t="s">
        <v>8</v>
      </c>
      <c r="C5" s="79">
        <v>5.500357063042937E-2</v>
      </c>
    </row>
    <row r="6" spans="1:8" ht="15.75" customHeight="1" x14ac:dyDescent="0.25">
      <c r="B6" s="24" t="s">
        <v>10</v>
      </c>
      <c r="C6" s="79">
        <v>9.282749513420073E-2</v>
      </c>
    </row>
    <row r="7" spans="1:8" ht="15.75" customHeight="1" x14ac:dyDescent="0.25">
      <c r="B7" s="24" t="s">
        <v>13</v>
      </c>
      <c r="C7" s="79">
        <v>0.241043065335104</v>
      </c>
    </row>
    <row r="8" spans="1:8" ht="15.75" customHeight="1" x14ac:dyDescent="0.25">
      <c r="B8" s="24" t="s">
        <v>14</v>
      </c>
      <c r="C8" s="79">
        <v>9.0583856836945768E-4</v>
      </c>
    </row>
    <row r="9" spans="1:8" ht="15.75" customHeight="1" x14ac:dyDescent="0.25">
      <c r="B9" s="24" t="s">
        <v>27</v>
      </c>
      <c r="C9" s="79">
        <v>0.23305925081163398</v>
      </c>
    </row>
    <row r="10" spans="1:8" ht="15.75" customHeight="1" x14ac:dyDescent="0.25">
      <c r="B10" s="24" t="s">
        <v>15</v>
      </c>
      <c r="C10" s="79">
        <v>0.17777970898443818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5.14806740305956E-2</v>
      </c>
      <c r="D14" s="79">
        <v>5.14806740305956E-2</v>
      </c>
      <c r="E14" s="79">
        <v>4.8193620123996403E-2</v>
      </c>
      <c r="F14" s="79">
        <v>4.8193620123996403E-2</v>
      </c>
    </row>
    <row r="15" spans="1:8" ht="15.75" customHeight="1" x14ac:dyDescent="0.25">
      <c r="B15" s="24" t="s">
        <v>16</v>
      </c>
      <c r="C15" s="79">
        <v>0.19074776089003201</v>
      </c>
      <c r="D15" s="79">
        <v>0.19074776089003201</v>
      </c>
      <c r="E15" s="79">
        <v>0.12895342074386901</v>
      </c>
      <c r="F15" s="79">
        <v>0.12895342074386901</v>
      </c>
    </row>
    <row r="16" spans="1:8" ht="15.75" customHeight="1" x14ac:dyDescent="0.25">
      <c r="B16" s="24" t="s">
        <v>17</v>
      </c>
      <c r="C16" s="79">
        <v>2.6570555156406699E-2</v>
      </c>
      <c r="D16" s="79">
        <v>2.6570555156406699E-2</v>
      </c>
      <c r="E16" s="79">
        <v>2.2253849366305801E-2</v>
      </c>
      <c r="F16" s="79">
        <v>2.2253849366305801E-2</v>
      </c>
    </row>
    <row r="17" spans="1:8" ht="15.75" customHeight="1" x14ac:dyDescent="0.25">
      <c r="B17" s="24" t="s">
        <v>18</v>
      </c>
      <c r="C17" s="79">
        <v>7.1700899200864899E-5</v>
      </c>
      <c r="D17" s="79">
        <v>7.1700899200864899E-5</v>
      </c>
      <c r="E17" s="79">
        <v>1.68631071666596E-4</v>
      </c>
      <c r="F17" s="79">
        <v>1.68631071666596E-4</v>
      </c>
    </row>
    <row r="18" spans="1:8" ht="15.75" customHeight="1" x14ac:dyDescent="0.25">
      <c r="B18" s="24" t="s">
        <v>19</v>
      </c>
      <c r="C18" s="79">
        <v>9.9555794117310603E-4</v>
      </c>
      <c r="D18" s="79">
        <v>9.9555794117310603E-4</v>
      </c>
      <c r="E18" s="79">
        <v>1.68936313032963E-3</v>
      </c>
      <c r="F18" s="79">
        <v>1.68936313032963E-3</v>
      </c>
    </row>
    <row r="19" spans="1:8" ht="15.75" customHeight="1" x14ac:dyDescent="0.25">
      <c r="B19" s="24" t="s">
        <v>20</v>
      </c>
      <c r="C19" s="79">
        <v>5.6119387654886797E-3</v>
      </c>
      <c r="D19" s="79">
        <v>5.6119387654886797E-3</v>
      </c>
      <c r="E19" s="79">
        <v>2.0461518471055801E-3</v>
      </c>
      <c r="F19" s="79">
        <v>2.0461518471055801E-3</v>
      </c>
    </row>
    <row r="20" spans="1:8" ht="15.75" customHeight="1" x14ac:dyDescent="0.25">
      <c r="B20" s="24" t="s">
        <v>21</v>
      </c>
      <c r="C20" s="79">
        <v>8.6149111247847306E-3</v>
      </c>
      <c r="D20" s="79">
        <v>8.6149111247847306E-3</v>
      </c>
      <c r="E20" s="79">
        <v>1.1857557023466501E-2</v>
      </c>
      <c r="F20" s="79">
        <v>1.1857557023466501E-2</v>
      </c>
    </row>
    <row r="21" spans="1:8" ht="15.75" customHeight="1" x14ac:dyDescent="0.25">
      <c r="B21" s="24" t="s">
        <v>22</v>
      </c>
      <c r="C21" s="79">
        <v>8.7531988436839597E-2</v>
      </c>
      <c r="D21" s="79">
        <v>8.7531988436839597E-2</v>
      </c>
      <c r="E21" s="79">
        <v>0.262831892505347</v>
      </c>
      <c r="F21" s="79">
        <v>0.262831892505347</v>
      </c>
    </row>
    <row r="22" spans="1:8" ht="15.75" customHeight="1" x14ac:dyDescent="0.25">
      <c r="B22" s="24" t="s">
        <v>23</v>
      </c>
      <c r="C22" s="79">
        <v>0.62837491275547863</v>
      </c>
      <c r="D22" s="79">
        <v>0.62837491275547863</v>
      </c>
      <c r="E22" s="79">
        <v>0.52200551418791341</v>
      </c>
      <c r="F22" s="79">
        <v>0.52200551418791341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3.6499999999999998E-2</v>
      </c>
    </row>
    <row r="27" spans="1:8" ht="15.75" customHeight="1" x14ac:dyDescent="0.25">
      <c r="B27" s="24" t="s">
        <v>39</v>
      </c>
      <c r="C27" s="79">
        <v>2.0199999999999999E-2</v>
      </c>
    </row>
    <row r="28" spans="1:8" ht="15.75" customHeight="1" x14ac:dyDescent="0.25">
      <c r="B28" s="24" t="s">
        <v>40</v>
      </c>
      <c r="C28" s="79">
        <v>0.1216</v>
      </c>
    </row>
    <row r="29" spans="1:8" ht="15.75" customHeight="1" x14ac:dyDescent="0.25">
      <c r="B29" s="24" t="s">
        <v>41</v>
      </c>
      <c r="C29" s="79">
        <v>0.27379999999999999</v>
      </c>
    </row>
    <row r="30" spans="1:8" ht="15.75" customHeight="1" x14ac:dyDescent="0.25">
      <c r="B30" s="24" t="s">
        <v>42</v>
      </c>
      <c r="C30" s="79">
        <v>4.9000000000000002E-2</v>
      </c>
    </row>
    <row r="31" spans="1:8" ht="15.75" customHeight="1" x14ac:dyDescent="0.25">
      <c r="B31" s="24" t="s">
        <v>43</v>
      </c>
      <c r="C31" s="79">
        <v>9.9600000000000008E-2</v>
      </c>
    </row>
    <row r="32" spans="1:8" ht="15.75" customHeight="1" x14ac:dyDescent="0.25">
      <c r="B32" s="24" t="s">
        <v>44</v>
      </c>
      <c r="C32" s="79">
        <v>4.4600000000000001E-2</v>
      </c>
    </row>
    <row r="33" spans="2:3" ht="15.75" customHeight="1" x14ac:dyDescent="0.25">
      <c r="B33" s="24" t="s">
        <v>45</v>
      </c>
      <c r="C33" s="79">
        <v>9.3699999999999992E-2</v>
      </c>
    </row>
    <row r="34" spans="2:3" ht="15.75" customHeight="1" x14ac:dyDescent="0.25">
      <c r="B34" s="24" t="s">
        <v>46</v>
      </c>
      <c r="C34" s="79">
        <v>0.2609999999977648</v>
      </c>
    </row>
    <row r="35" spans="2:3" ht="15.75" customHeight="1" x14ac:dyDescent="0.25">
      <c r="B35" s="32" t="s">
        <v>129</v>
      </c>
      <c r="C35" s="74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F14" sqref="F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0.72814156970184241</v>
      </c>
      <c r="D2" s="80">
        <v>0.72814156970184241</v>
      </c>
      <c r="E2" s="80">
        <v>0.64784935214932204</v>
      </c>
      <c r="F2" s="80">
        <v>0.52846680756202913</v>
      </c>
      <c r="G2" s="80">
        <v>0.53181962727134247</v>
      </c>
    </row>
    <row r="3" spans="1:15" ht="15.75" customHeight="1" x14ac:dyDescent="0.25">
      <c r="A3" s="5"/>
      <c r="B3" s="11" t="s">
        <v>118</v>
      </c>
      <c r="C3" s="80">
        <v>0.16872797753090971</v>
      </c>
      <c r="D3" s="80">
        <v>0.16872797753090971</v>
      </c>
      <c r="E3" s="80">
        <v>0.24902019508343007</v>
      </c>
      <c r="F3" s="80">
        <v>0.31970224808618941</v>
      </c>
      <c r="G3" s="80">
        <v>0.31634942837687591</v>
      </c>
    </row>
    <row r="4" spans="1:15" ht="15.75" customHeight="1" x14ac:dyDescent="0.25">
      <c r="A4" s="5"/>
      <c r="B4" s="11" t="s">
        <v>116</v>
      </c>
      <c r="C4" s="81">
        <v>6.9708546777862021E-2</v>
      </c>
      <c r="D4" s="81">
        <v>6.9708546777862021E-2</v>
      </c>
      <c r="E4" s="81">
        <v>6.9708546777862021E-2</v>
      </c>
      <c r="F4" s="81">
        <v>0.11315702456406367</v>
      </c>
      <c r="G4" s="81">
        <v>0.11315702456406367</v>
      </c>
    </row>
    <row r="5" spans="1:15" ht="15.75" customHeight="1" x14ac:dyDescent="0.25">
      <c r="A5" s="5"/>
      <c r="B5" s="11" t="s">
        <v>119</v>
      </c>
      <c r="C5" s="81">
        <v>3.3421905989385901E-2</v>
      </c>
      <c r="D5" s="81">
        <v>3.3421905989385901E-2</v>
      </c>
      <c r="E5" s="81">
        <v>3.3421905989385901E-2</v>
      </c>
      <c r="F5" s="81">
        <v>3.8673919787717968E-2</v>
      </c>
      <c r="G5" s="81">
        <v>3.8673919787717968E-2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0.8615091639703476</v>
      </c>
      <c r="D8" s="80">
        <v>0.8615091639703476</v>
      </c>
      <c r="E8" s="80">
        <v>0.90139071605358956</v>
      </c>
      <c r="F8" s="80">
        <v>0.9258189105252016</v>
      </c>
      <c r="G8" s="80">
        <v>0.92826976857200394</v>
      </c>
    </row>
    <row r="9" spans="1:15" ht="15.75" customHeight="1" x14ac:dyDescent="0.25">
      <c r="B9" s="7" t="s">
        <v>121</v>
      </c>
      <c r="C9" s="80">
        <v>0.11480133702965235</v>
      </c>
      <c r="D9" s="80">
        <v>0.11480133702965235</v>
      </c>
      <c r="E9" s="80">
        <v>8.8038160946410537E-2</v>
      </c>
      <c r="F9" s="80">
        <v>6.5987092974798392E-2</v>
      </c>
      <c r="G9" s="80">
        <v>6.5018895427995979E-2</v>
      </c>
    </row>
    <row r="10" spans="1:15" ht="15.75" customHeight="1" x14ac:dyDescent="0.25">
      <c r="B10" s="7" t="s">
        <v>122</v>
      </c>
      <c r="C10" s="81">
        <v>1.5440636400000001E-2</v>
      </c>
      <c r="D10" s="81">
        <v>1.5440636400000001E-2</v>
      </c>
      <c r="E10" s="81">
        <v>8.8189797999999996E-3</v>
      </c>
      <c r="F10" s="81">
        <v>7.0526313000000007E-3</v>
      </c>
      <c r="G10" s="81">
        <v>5.9001169066666666E-3</v>
      </c>
    </row>
    <row r="11" spans="1:15" ht="15.75" customHeight="1" x14ac:dyDescent="0.25">
      <c r="B11" s="7" t="s">
        <v>123</v>
      </c>
      <c r="C11" s="81">
        <v>8.2488626000000002E-3</v>
      </c>
      <c r="D11" s="81">
        <v>8.2488626000000002E-3</v>
      </c>
      <c r="E11" s="81">
        <v>1.7521432000000001E-3</v>
      </c>
      <c r="F11" s="81">
        <v>1.1413652000000002E-3</v>
      </c>
      <c r="G11" s="81">
        <v>8.1121909333333343E-4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0.33551805199999996</v>
      </c>
      <c r="D14" s="82">
        <v>0.31433103722400002</v>
      </c>
      <c r="E14" s="82">
        <v>0.31433103722400002</v>
      </c>
      <c r="F14" s="82">
        <v>9.9518045944200009E-2</v>
      </c>
      <c r="G14" s="82">
        <v>9.9518045944200009E-2</v>
      </c>
      <c r="H14" s="83">
        <v>0.27200000000000002</v>
      </c>
      <c r="I14" s="83">
        <v>0.27200000000000002</v>
      </c>
      <c r="J14" s="83">
        <v>0.27200000000000002</v>
      </c>
      <c r="K14" s="83">
        <v>0.27200000000000002</v>
      </c>
      <c r="L14" s="83">
        <v>5.1024253721499997E-2</v>
      </c>
      <c r="M14" s="83">
        <v>9.3999605727850002E-2</v>
      </c>
      <c r="N14" s="83">
        <v>0.10032927103095</v>
      </c>
      <c r="O14" s="83">
        <v>0.102498964774</v>
      </c>
    </row>
    <row r="15" spans="1:15" ht="15.75" customHeight="1" x14ac:dyDescent="0.25">
      <c r="B15" s="16" t="s">
        <v>68</v>
      </c>
      <c r="C15" s="80">
        <f>iron_deficiency_anaemia*C14</f>
        <v>0.20144113807398242</v>
      </c>
      <c r="D15" s="80">
        <f t="shared" ref="D15:O15" si="0">iron_deficiency_anaemia*D14</f>
        <v>0.18872070069832755</v>
      </c>
      <c r="E15" s="80">
        <f t="shared" si="0"/>
        <v>0.18872070069832755</v>
      </c>
      <c r="F15" s="80">
        <f t="shared" si="0"/>
        <v>5.9749477902603348E-2</v>
      </c>
      <c r="G15" s="80">
        <f t="shared" si="0"/>
        <v>5.9749477902603348E-2</v>
      </c>
      <c r="H15" s="80">
        <f t="shared" si="0"/>
        <v>0.16330563804096962</v>
      </c>
      <c r="I15" s="80">
        <f t="shared" si="0"/>
        <v>0.16330563804096962</v>
      </c>
      <c r="J15" s="80">
        <f t="shared" si="0"/>
        <v>0.16330563804096962</v>
      </c>
      <c r="K15" s="80">
        <f t="shared" si="0"/>
        <v>0.16330563804096962</v>
      </c>
      <c r="L15" s="80">
        <f t="shared" si="0"/>
        <v>3.0634368785124544E-2</v>
      </c>
      <c r="M15" s="80">
        <f t="shared" si="0"/>
        <v>5.6436270547743111E-2</v>
      </c>
      <c r="N15" s="80">
        <f t="shared" si="0"/>
        <v>6.0236528014318606E-2</v>
      </c>
      <c r="O15" s="80">
        <f t="shared" si="0"/>
        <v>6.1539186915282866E-2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E3" sqref="E3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0.43</v>
      </c>
      <c r="D2" s="81">
        <v>0.43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7.0000000000000007E-2</v>
      </c>
      <c r="D3" s="81">
        <v>0.109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0.17300000000000001</v>
      </c>
      <c r="D4" s="81">
        <v>0.17300000000000001</v>
      </c>
      <c r="E4" s="81">
        <v>0.60299999999999998</v>
      </c>
      <c r="F4" s="81">
        <v>0.70250000000000001</v>
      </c>
      <c r="G4" s="81">
        <v>0</v>
      </c>
    </row>
    <row r="5" spans="1:7" x14ac:dyDescent="0.25">
      <c r="B5" s="43" t="s">
        <v>169</v>
      </c>
      <c r="C5" s="80">
        <f>1-SUM(C2:C4)</f>
        <v>0.32699999999999996</v>
      </c>
      <c r="D5" s="80">
        <f>1-SUM(D2:D4)</f>
        <v>0.28799999999999992</v>
      </c>
      <c r="E5" s="80">
        <f>1-SUM(E2:E4)</f>
        <v>0.39700000000000002</v>
      </c>
      <c r="F5" s="80">
        <f>1-SUM(F2:F4)</f>
        <v>0.29749999999999999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zoomScale="110" zoomScaleNormal="110" workbookViewId="0">
      <selection activeCell="C4" sqref="C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0.12667999999999999</v>
      </c>
      <c r="D2" s="144">
        <v>0.12389</v>
      </c>
      <c r="E2" s="144">
        <v>0.12115000000000001</v>
      </c>
      <c r="F2" s="144">
        <v>0.11846999999999999</v>
      </c>
      <c r="G2" s="144">
        <v>0.11583</v>
      </c>
      <c r="H2" s="144">
        <v>0.11329</v>
      </c>
      <c r="I2" s="144">
        <v>0.11080999999999999</v>
      </c>
      <c r="J2" s="144">
        <v>0.10840999999999999</v>
      </c>
      <c r="K2" s="144">
        <v>0.10608000000000001</v>
      </c>
      <c r="L2" s="144">
        <v>0.10382</v>
      </c>
      <c r="M2" s="144">
        <v>0.10162</v>
      </c>
      <c r="N2" s="144">
        <v>9.9479999999999999E-2</v>
      </c>
      <c r="O2" s="144">
        <v>9.7409999999999997E-2</v>
      </c>
      <c r="P2" s="144">
        <v>9.5399999999999985E-2</v>
      </c>
    </row>
    <row r="3" spans="1:16" x14ac:dyDescent="0.25">
      <c r="B3" s="14"/>
      <c r="C3" s="14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</row>
    <row r="4" spans="1:16" x14ac:dyDescent="0.25">
      <c r="A4" t="s">
        <v>140</v>
      </c>
      <c r="B4" s="14" t="s">
        <v>143</v>
      </c>
      <c r="C4" s="28">
        <v>9.11E-3</v>
      </c>
      <c r="D4" s="144">
        <v>8.7299999999999999E-3</v>
      </c>
      <c r="E4" s="144">
        <v>8.369999999999999E-3</v>
      </c>
      <c r="F4" s="144">
        <v>8.0300000000000007E-3</v>
      </c>
      <c r="G4" s="144">
        <v>7.7099999999999998E-3</v>
      </c>
      <c r="H4" s="144">
        <v>7.4599999999999996E-3</v>
      </c>
      <c r="I4" s="144">
        <v>7.2199999999999999E-3</v>
      </c>
      <c r="J4" s="144">
        <v>6.9899999999999997E-3</v>
      </c>
      <c r="K4" s="144">
        <v>6.7600000000000004E-3</v>
      </c>
      <c r="L4" s="144">
        <v>6.5500000000000003E-3</v>
      </c>
      <c r="M4" s="144">
        <v>6.3400000000000001E-3</v>
      </c>
      <c r="N4" s="144">
        <v>6.1399999999999996E-3</v>
      </c>
      <c r="O4" s="144">
        <v>5.9499999999999996E-3</v>
      </c>
      <c r="P4" s="144">
        <v>5.77E-3</v>
      </c>
    </row>
    <row r="5" spans="1:16" x14ac:dyDescent="0.25">
      <c r="B5" s="14"/>
      <c r="C5" s="142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</row>
    <row r="6" spans="1:16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8.5755729751342449E-2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0.16330563804096962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8" spans="1:16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5.5294048534259108E-2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</row>
    <row r="9" spans="1:16" x14ac:dyDescent="0.25">
      <c r="C9" s="142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</row>
    <row r="10" spans="1:16" x14ac:dyDescent="0.25">
      <c r="A10" t="s">
        <v>142</v>
      </c>
      <c r="B10" s="16" t="s">
        <v>147</v>
      </c>
      <c r="C10" s="28">
        <f>('Breastfeeding distribution'!C2 + 5*'Breastfeeding distribution'!D2)/6</f>
        <v>0.43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x14ac:dyDescent="0.25">
      <c r="B11" s="34" t="s">
        <v>146</v>
      </c>
      <c r="C11" s="28">
        <f>('Breastfeeding distribution'!E4+2*'Breastfeeding distribution'!F4)/3</f>
        <v>0.66933333333333334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6" x14ac:dyDescent="0.25">
      <c r="C12" s="142"/>
    </row>
    <row r="13" spans="1:16" x14ac:dyDescent="0.25">
      <c r="A13" s="12" t="s">
        <v>74</v>
      </c>
      <c r="B13" s="34" t="s">
        <v>148</v>
      </c>
      <c r="C13" s="143">
        <v>14.202</v>
      </c>
      <c r="D13" s="143">
        <v>13.787000000000001</v>
      </c>
      <c r="E13" s="143">
        <v>13.384</v>
      </c>
      <c r="F13" s="143">
        <v>13.03</v>
      </c>
      <c r="G13" s="143">
        <v>12.675000000000001</v>
      </c>
      <c r="H13" s="143">
        <v>12.343</v>
      </c>
      <c r="I13" s="143">
        <v>12.005000000000001</v>
      </c>
      <c r="J13" s="143">
        <v>11.707000000000001</v>
      </c>
      <c r="K13" s="143">
        <v>11.422000000000001</v>
      </c>
      <c r="L13" s="143">
        <v>11.14</v>
      </c>
      <c r="M13" s="143">
        <v>10.919</v>
      </c>
      <c r="N13" s="143">
        <v>10.615</v>
      </c>
      <c r="O13" s="143">
        <v>10.41</v>
      </c>
      <c r="P13" s="143">
        <v>10.202</v>
      </c>
    </row>
    <row r="14" spans="1:16" x14ac:dyDescent="0.25">
      <c r="B14" s="16" t="s">
        <v>170</v>
      </c>
      <c r="C14" s="143">
        <f>maternal_mortality</f>
        <v>0.64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</row>
  </sheetData>
  <pageMargins left="0.7" right="0.7" top="0.75" bottom="0.75" header="0.3" footer="0.3"/>
  <pageSetup paperSize="193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3" sqref="D3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/>
      <c r="D3" s="84" t="s">
        <v>194</v>
      </c>
      <c r="E3" s="61" t="str">
        <f>IF(E$7="","",E$7)</f>
        <v/>
      </c>
    </row>
    <row r="4" spans="1:5" x14ac:dyDescent="0.25">
      <c r="A4" s="47"/>
      <c r="B4" s="46" t="s">
        <v>2</v>
      </c>
      <c r="C4" s="84"/>
      <c r="D4" s="84" t="s">
        <v>194</v>
      </c>
      <c r="E4" s="61" t="str">
        <f>IF(E$7="","",E$7)</f>
        <v/>
      </c>
    </row>
    <row r="5" spans="1:5" x14ac:dyDescent="0.25">
      <c r="A5" s="47"/>
      <c r="B5" s="46" t="s">
        <v>3</v>
      </c>
      <c r="C5" s="84"/>
      <c r="D5" s="84" t="s">
        <v>194</v>
      </c>
      <c r="E5" s="61" t="str">
        <f>IF(E$7="","",E$7)</f>
        <v/>
      </c>
    </row>
    <row r="6" spans="1:5" x14ac:dyDescent="0.25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39"/>
  <sheetViews>
    <sheetView zoomScale="85" zoomScaleNormal="118" workbookViewId="0">
      <selection activeCell="E29" sqref="E29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0.26899999999999996</v>
      </c>
      <c r="E2" s="92">
        <f>food_insecure</f>
        <v>0.26899999999999996</v>
      </c>
      <c r="F2" s="92">
        <f>food_insecure</f>
        <v>0.26899999999999996</v>
      </c>
      <c r="G2" s="92">
        <f>food_insecure</f>
        <v>0.26899999999999996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0.26899999999999996</v>
      </c>
      <c r="F5" s="92">
        <f>food_insecure</f>
        <v>0.26899999999999996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0.17701736711048074</v>
      </c>
      <c r="D7" s="92">
        <f>diarrhoea_1_5mo/26</f>
        <v>0.13538226841730769</v>
      </c>
      <c r="E7" s="92">
        <f>diarrhoea_6_11mo/26</f>
        <v>0.13538226841730769</v>
      </c>
      <c r="F7" s="92">
        <f>diarrhoea_12_23mo/26</f>
        <v>6.7805431812692302E-2</v>
      </c>
      <c r="G7" s="92">
        <f>diarrhoea_24_59mo/26</f>
        <v>6.7805431812692302E-2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0.26899999999999996</v>
      </c>
      <c r="F8" s="92">
        <f>food_insecure</f>
        <v>0.26899999999999996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0.64200000000000002</v>
      </c>
      <c r="E9" s="92">
        <f>IF(ISBLANK(comm_deliv), frac_children_health_facility,1)</f>
        <v>0.64200000000000002</v>
      </c>
      <c r="F9" s="92">
        <f>IF(ISBLANK(comm_deliv), frac_children_health_facility,1)</f>
        <v>0.64200000000000002</v>
      </c>
      <c r="G9" s="92">
        <f>IF(ISBLANK(comm_deliv), frac_children_health_facility,1)</f>
        <v>0.64200000000000002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0.17701736711048074</v>
      </c>
      <c r="D11" s="92">
        <f>diarrhoea_1_5mo/26</f>
        <v>0.13538226841730769</v>
      </c>
      <c r="E11" s="92">
        <f>diarrhoea_6_11mo/26</f>
        <v>0.13538226841730769</v>
      </c>
      <c r="F11" s="92">
        <f>diarrhoea_12_23mo/26</f>
        <v>6.7805431812692302E-2</v>
      </c>
      <c r="G11" s="92">
        <f>diarrhoea_24_59mo/26</f>
        <v>6.7805431812692302E-2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0.26899999999999996</v>
      </c>
      <c r="I14" s="92">
        <f>food_insecure</f>
        <v>0.26899999999999996</v>
      </c>
      <c r="J14" s="92">
        <f>food_insecure</f>
        <v>0.26899999999999996</v>
      </c>
      <c r="K14" s="92">
        <f>food_insecure</f>
        <v>0.26899999999999996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0.89900000000000002</v>
      </c>
      <c r="I17" s="92">
        <f>frac_PW_health_facility</f>
        <v>0.89900000000000002</v>
      </c>
      <c r="J17" s="92">
        <f>frac_PW_health_facility</f>
        <v>0.89900000000000002</v>
      </c>
      <c r="K17" s="92">
        <f>frac_PW_health_facility</f>
        <v>0.89900000000000002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5.0000000000000001E-3</v>
      </c>
      <c r="I18" s="92">
        <f>frac_malaria_risk</f>
        <v>5.0000000000000001E-3</v>
      </c>
      <c r="J18" s="92">
        <f>frac_malaria_risk</f>
        <v>5.0000000000000001E-3</v>
      </c>
      <c r="K18" s="92">
        <f>frac_malaria_risk</f>
        <v>5.0000000000000001E-3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0.13500000000000001</v>
      </c>
      <c r="M23" s="92">
        <f>famplan_unmet_need</f>
        <v>0.13500000000000001</v>
      </c>
      <c r="N23" s="92">
        <f>famplan_unmet_need</f>
        <v>0.13500000000000001</v>
      </c>
      <c r="O23" s="92">
        <f>famplan_unmet_need</f>
        <v>0.13500000000000001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0.10060920425796532</v>
      </c>
      <c r="M24" s="92">
        <f>(1-food_insecure)*(0.49)+food_insecure*(0.7)</f>
        <v>0.54649000000000003</v>
      </c>
      <c r="N24" s="92">
        <f>(1-food_insecure)*(0.49)+food_insecure*(0.7)</f>
        <v>0.54649000000000003</v>
      </c>
      <c r="O24" s="92">
        <f>(1-food_insecure)*(0.49)+food_insecure*(0.7)</f>
        <v>0.54649000000000003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4.311823039627085E-2</v>
      </c>
      <c r="M25" s="92">
        <f>(1-food_insecure)*(0.21)+food_insecure*(0.3)</f>
        <v>0.23420999999999997</v>
      </c>
      <c r="N25" s="92">
        <f>(1-food_insecure)*(0.21)+food_insecure*(0.3)</f>
        <v>0.23420999999999997</v>
      </c>
      <c r="O25" s="92">
        <f>(1-food_insecure)*(0.21)+food_insecure*(0.3)</f>
        <v>0.23420999999999997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4.0373288612365818E-2</v>
      </c>
      <c r="M26" s="92">
        <f>(1-food_insecure)*(0.3)</f>
        <v>0.21930000000000002</v>
      </c>
      <c r="N26" s="92">
        <f>(1-food_insecure)*(0.3)</f>
        <v>0.21930000000000002</v>
      </c>
      <c r="O26" s="92">
        <f>(1-food_insecure)*(0.3)</f>
        <v>0.21930000000000002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0.81589927673339813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0.99</v>
      </c>
      <c r="F29" s="92">
        <f t="shared" si="0"/>
        <v>0.99</v>
      </c>
      <c r="G29" s="92">
        <f t="shared" si="0"/>
        <v>0.99</v>
      </c>
      <c r="H29" s="92">
        <f t="shared" si="0"/>
        <v>0.99</v>
      </c>
      <c r="I29" s="92">
        <f t="shared" si="0"/>
        <v>0.99</v>
      </c>
      <c r="J29" s="92">
        <f t="shared" si="0"/>
        <v>0.99</v>
      </c>
      <c r="K29" s="92">
        <f t="shared" si="0"/>
        <v>0.99</v>
      </c>
      <c r="L29" s="92">
        <f t="shared" si="0"/>
        <v>0.99</v>
      </c>
      <c r="M29" s="92">
        <f t="shared" si="0"/>
        <v>0.99</v>
      </c>
      <c r="N29" s="92">
        <f t="shared" si="0"/>
        <v>0.99</v>
      </c>
      <c r="O29" s="92">
        <f t="shared" si="0"/>
        <v>0.99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5.0000000000000001E-3</v>
      </c>
      <c r="F30" s="92">
        <f t="shared" si="1"/>
        <v>5.0000000000000001E-3</v>
      </c>
      <c r="G30" s="92">
        <f t="shared" si="1"/>
        <v>5.0000000000000001E-3</v>
      </c>
      <c r="H30" s="92">
        <f t="shared" si="1"/>
        <v>5.0000000000000001E-3</v>
      </c>
      <c r="I30" s="92">
        <f t="shared" si="1"/>
        <v>5.0000000000000001E-3</v>
      </c>
      <c r="J30" s="92">
        <f t="shared" si="1"/>
        <v>5.0000000000000001E-3</v>
      </c>
      <c r="K30" s="92">
        <f t="shared" si="1"/>
        <v>5.0000000000000001E-3</v>
      </c>
      <c r="L30" s="92">
        <f t="shared" si="1"/>
        <v>5.0000000000000001E-3</v>
      </c>
      <c r="M30" s="92">
        <f t="shared" si="1"/>
        <v>5.0000000000000001E-3</v>
      </c>
      <c r="N30" s="92">
        <f t="shared" si="1"/>
        <v>5.0000000000000001E-3</v>
      </c>
      <c r="O30" s="92">
        <f t="shared" si="1"/>
        <v>5.0000000000000001E-3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5.0000000000000001E-3</v>
      </c>
      <c r="F31" s="92">
        <f t="shared" ref="F31:O31" si="2">frac_wheat</f>
        <v>5.0000000000000001E-3</v>
      </c>
      <c r="G31" s="92">
        <f t="shared" si="2"/>
        <v>5.0000000000000001E-3</v>
      </c>
      <c r="H31" s="92">
        <f t="shared" si="2"/>
        <v>5.0000000000000001E-3</v>
      </c>
      <c r="I31" s="92">
        <f t="shared" si="2"/>
        <v>5.0000000000000001E-3</v>
      </c>
      <c r="J31" s="92">
        <f t="shared" si="2"/>
        <v>5.0000000000000001E-3</v>
      </c>
      <c r="K31" s="92">
        <f t="shared" si="2"/>
        <v>5.0000000000000001E-3</v>
      </c>
      <c r="L31" s="92">
        <f t="shared" si="2"/>
        <v>5.0000000000000001E-3</v>
      </c>
      <c r="M31" s="92">
        <f t="shared" si="2"/>
        <v>5.0000000000000001E-3</v>
      </c>
      <c r="N31" s="92">
        <f t="shared" si="2"/>
        <v>5.0000000000000001E-3</v>
      </c>
      <c r="O31" s="92">
        <f t="shared" si="2"/>
        <v>5.0000000000000001E-3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5.0000000000000001E-3</v>
      </c>
      <c r="D33" s="92">
        <f t="shared" si="3"/>
        <v>5.0000000000000001E-3</v>
      </c>
      <c r="E33" s="92">
        <f t="shared" si="3"/>
        <v>5.0000000000000001E-3</v>
      </c>
      <c r="F33" s="92">
        <f t="shared" si="3"/>
        <v>5.0000000000000001E-3</v>
      </c>
      <c r="G33" s="92">
        <f t="shared" si="3"/>
        <v>5.0000000000000001E-3</v>
      </c>
      <c r="H33" s="92">
        <f t="shared" si="3"/>
        <v>5.0000000000000001E-3</v>
      </c>
      <c r="I33" s="92">
        <f t="shared" si="3"/>
        <v>5.0000000000000001E-3</v>
      </c>
      <c r="J33" s="92">
        <f t="shared" si="3"/>
        <v>5.0000000000000001E-3</v>
      </c>
      <c r="K33" s="92">
        <f t="shared" si="3"/>
        <v>5.0000000000000001E-3</v>
      </c>
      <c r="L33" s="92">
        <f t="shared" si="3"/>
        <v>5.0000000000000001E-3</v>
      </c>
      <c r="M33" s="92">
        <f t="shared" si="3"/>
        <v>5.0000000000000001E-3</v>
      </c>
      <c r="N33" s="92">
        <f t="shared" si="3"/>
        <v>5.0000000000000001E-3</v>
      </c>
      <c r="O33" s="92">
        <f t="shared" si="3"/>
        <v>5.0000000000000001E-3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target population</vt:lpstr>
      <vt:lpstr>Programs cost and coverage</vt:lpstr>
      <vt:lpstr>IYCF cost</vt:lpstr>
      <vt:lpstr>Program dependencies</vt:lpstr>
      <vt:lpstr>Reference programs</vt:lpstr>
      <vt:lpstr>Incidence of conditions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2020-03-24T06:48:49Z</dcterms:modified>
</cp:coreProperties>
</file>