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8864E0C5-F8FD-410F-9754-7A4000AD2F68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I3" i="2" s="1"/>
  <c r="H4" i="2"/>
  <c r="G4" i="2"/>
  <c r="H5" i="2"/>
  <c r="I5" i="2" s="1"/>
  <c r="H6" i="2"/>
  <c r="H7" i="2"/>
  <c r="H8" i="2"/>
  <c r="H9" i="2"/>
  <c r="H10" i="2"/>
  <c r="I10" i="2" s="1"/>
  <c r="H11" i="2"/>
  <c r="I11" i="2" s="1"/>
  <c r="H12" i="2"/>
  <c r="I12" i="2" s="1"/>
  <c r="H13" i="2"/>
  <c r="H14" i="2"/>
  <c r="I14" i="2" s="1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18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7" i="51" l="1"/>
  <c r="I15" i="2"/>
  <c r="I13" i="2"/>
  <c r="I9" i="2"/>
  <c r="I8" i="2"/>
  <c r="I7" i="2"/>
  <c r="I6" i="2"/>
  <c r="I4" i="2"/>
  <c r="I2" i="2"/>
  <c r="C8" i="51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473D1C5E-6DB2-4C80-92CD-EC591AC7BD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80DE94FB-BFA3-48B8-8673-D84912B5DF3D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F46A7DE3-3EF7-42F0-A699-200E964C53D3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5779B3B-6754-4824-86A4-59C03AF33401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241D505-EFC1-4013-9A51-9CFF7182B76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8695EDE-0F9D-4160-9D5B-E452F0EC55EC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50B90661-303C-4E06-B28C-D81A5DD0C51E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B8F1D119-80A6-4EB1-B88D-7AE0BC0EA85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4C884D7B-7CA7-470D-9CA0-CEB93B795F14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42475D46-9F60-4892-9CA4-727E40AF894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44FEC736-A383-4E37-B42A-97C40792C6D5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F5FB842E-F08F-4061-BAF3-51291AB280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61C61E31-131E-472C-8600-12107BDA72F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E5B2E006-2D1B-41EF-BE5E-63BDFDCB1B7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BA64B5D1-5A2F-416F-8F77-3AB072CD3D1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F83C622E-EFFD-434C-8E96-425D3346751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E84FF4B-F3B9-4252-9DDD-FB9ECE327C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78EC0EC8-650B-4810-88D8-DCBA6939A70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BBCEBBA8-3494-4DE6-8DF2-2101E571E32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6E0823B2-7A7B-4108-97EB-489324E34DF5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B7CF697A-5B11-4DEF-B500-0B88878EE53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ED95F108-F1CF-4921-A217-F6F7DB91772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D4EB2076-FB82-42B3-8E9E-5EEB1DF9FCDE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0C63F5CF-3CF8-42DF-8AE0-CDF77C52733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913BA4B4-2C13-46FD-B6A4-60C49439D96D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3F4E0D70-821C-46C8-9979-443416D7DC2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C0B2E87C-9526-4E5B-84EA-FA01A2BC20CA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DBE504D1-85C8-4928-BD28-6CC67983F3C7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1F50C54A-1A4D-4F0B-83B1-AFFA9FB5BF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AA7E3AEB-0801-4E27-B4B1-D7361B2672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913EAF6D-F412-44E4-93E7-4E21BF4BC9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45509ACD-108B-4621-A286-09A16E81BB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3A4BFB2F-41E5-4E75-A9F0-7904AB702E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61493E7B-FCF7-43E8-BC9F-A50F7600CA3B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9EF7BB43-6764-47E6-8C66-33A13884F3A9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F81B2854-25EE-492E-9018-E313C0F2865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8AAB99A-3496-46D9-AB26-620EC827FF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7ABE1806-BFF5-405D-BE81-899AB60E76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AC6BB32D-FE61-43F3-98AA-3ACD8BE20FC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B977D60-021E-430A-9D98-9734F86ADC2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8F5AA653-DA25-485C-A7DC-6993944BB2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15C8E49A-3315-49AD-8352-19CF7C6157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2A976B59-BDE5-46B5-BDEE-2948EFF8E6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A2B92D20-4C93-4EC9-B696-00EDF514A9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F1B47A36-D251-483B-B9EC-1B8474E1C3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2C9FD97-C55F-4C17-8698-81F1C2B99F7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8906F258-2CB1-4781-8EFA-32F33A0BAA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ECE33EA7-91FC-490F-A552-02980B9AF0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5C9CCAED-BC24-40BC-A35A-174410C7C2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F885463E-A36A-4800-86DC-69B6F2374E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384A3C82-4B73-43B3-AFA5-2FC8116322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801D20A3-5DED-4A60-83F4-92F6880B11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9FFE639C-CD30-45B7-9DB4-7B3BC2EFF0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1AE7CC29-ACC9-4BC1-B9E8-3ED25BA2D9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246376D8-1F82-4397-8BC4-363CA42734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0D5864ED-722B-45C7-A156-6F45B9E595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50081A28-86EF-45BE-93FF-3BBA1FEBAC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0ED0F5FF-6B77-4D05-9BDF-775672B3A7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941A02B7-F09D-4ACD-BA29-A11E2E4287B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CC75D6BC-DDED-453C-99CB-24C794F130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7673E0B0-AE39-4577-808A-2AE2A6FC0A8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99EA9E15-39B7-4D4B-B1CA-71F4F4B9E9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C295587A-06E6-44ED-9FE4-90C51AFB840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42326BBC-402D-4F92-96CD-9C7469A6EB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58A8AF93-77EA-495C-B244-C43282F9824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C173062-9AB8-4CF0-8B55-B59A8B7D59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06D855BB-CB31-49A2-9EE2-541DCF63EFD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1A55432E-A2D9-4833-ABF7-E853ECBE422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B1894D7-E894-4E22-AF9B-A28C9596CF0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1F0C50B4-37C6-4895-ABBC-104DF18C322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D16E45F0-6D66-4858-B7F3-3856159611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F7FCAD0-AD8E-43CD-9D19-F2AE1ADA66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3C5269A7-0FFB-4B30-843C-CBFE848635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A62CCA16-8DD9-4623-8E1B-B6B8AF92A4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D09F7805-4358-48CE-88B3-6A83B6A061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9E96D778-1266-4BE5-947F-EA25D7AA62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67C06834-6195-440B-974E-380E78646B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0FC197C4-F952-4255-82DD-72BD9D1E64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75BCC1FB-4915-4B1C-B0B4-C19673EF67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EACBAECB-C5C7-406C-AE03-88C3C4388E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31F60DCD-2EC9-487F-B488-793A1F251E0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3BC75CE8-B8D3-431C-9393-F4E8F5A01B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DAC7D4B6-3427-4B00-977E-0FA22BD64E7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24852EC-E44E-400B-8DEC-E4DA022063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B443A51F-E50F-4B58-BE1B-31613E2B2A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2AF7525B-A4F8-4143-8364-F6F68B5C15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4DCF9048-B360-42A4-95F7-B24442D83D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DD96A16-F8DA-4CBD-960B-F24CB20716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08AAB86-1CA2-4C62-BEBE-9271D97DBE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53D09A34-8D29-4593-867C-90C2FBE0439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73C63391-D590-4A52-909D-E928B43E363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2EF78AC-E3D2-49BD-B1EC-F2E94B99502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B277C413-0FC6-472E-A907-5CDF3F97DC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E4F0DECB-B1F6-4307-BDF3-7E0DB9F8396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7CC51CE3-0733-4278-AFEC-47308C9FAF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BAA08038-E956-4330-A168-66204796356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6F49D462-6B45-447F-8F8B-B9157C1B5B3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4F2BB3BF-BE46-435E-8314-238B63AEB3E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B07818CA-E0DA-4861-86B3-6CAECB68074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D9F61EB2-6906-4D5A-BB62-A86F9B10391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48D03FCA-F5EC-499E-BE0B-F6F1AC2EDF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C10EE74D-9A5C-4066-A71F-E8DB313B32A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8361E5D7-7588-40C0-8043-7F0C8DDF8A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D8BB9302-62A8-4A52-B6F3-DAB4B9FCEF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8E449579-DB5F-4C81-A7B0-C40F4A5A0CB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F14AB76B-F32B-4F53-8012-146D9F10AD3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ABA9F5A-DA6F-44D4-A4BD-0593300AC55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27C75A33-6B0D-4C65-9806-FAA747270F8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6B44ECA3-1E14-42E0-B7B8-6B9259D98D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A032B558-5967-4861-8967-B74A9CA30D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0E9B5F96-23D7-4CCB-93D4-DA4309CA3A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F6483F9-DDBB-4EBD-B0FB-100AE4D8EF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D1C91B95-7D37-4DAE-9666-4A4876B317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11FEC6FB-0939-40E9-A0D4-2414BC3EFE7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128AD5D4-C1E6-45D7-9CA6-4F296F48432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9645C798-2CC3-45BB-BAF2-505CC24825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E2ED039-D087-4345-8D74-6F89100F712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8BD469CF-CA38-40C7-8066-FE1381D94E8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D6D5E54-DE63-463E-80C1-619E1423E4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F5ADF4F1-4C09-4011-ACD4-36AB12D7AEE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960089DC-DDD6-4363-AD1C-E8FEFC835BE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1DD6AE2A-ED46-44CC-9F50-D77A64556F0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9F3E82A1-1952-4099-B0D4-6600D5CA18E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832FCA0F-8403-4D6F-8632-61EADD6154C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B82AA1AD-C012-4649-8065-1A13309725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75B6B0CD-8B5D-4A7F-AD63-8F1C701EED8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59A408E-C9B4-40D3-91CD-61296A7727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79264F46-3A2E-4F69-946E-E8640998B5E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CEF8D14-E669-4EB8-8CE5-C053F094AF6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FF54FEE-6C19-41D9-892B-A6287828978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F16E9EA6-F10B-429D-881E-355CABAC49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E3C609F7-CFF2-44EA-AE51-FC2E0FCF2EA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1B28D4B9-8EEB-44E5-B0BB-2D5236F8179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75E87D3E-14AC-4D87-AB78-D897BD96E9E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4546D12F-E935-459C-BF68-C3DCD2AFA5E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94C8A5F6-7FE0-4C1A-B236-11D32E52F21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7E9AD7CC-8CB6-4CAD-A836-CE374624E3E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748367F6-A19E-467D-AB7C-D5D3AFD1339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EFAFEB70-065E-4C14-993B-2F07EE1CA96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5EFCEF95-77A4-4469-B6A7-05ECFBBBEE4B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FB6F4B6F-EB49-499A-97E0-60EDDB72943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01FE9FF9-C857-454D-AA5A-F723D3A7D3F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2835BC8C-7986-4C23-BF75-939A531A258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E894CA77-C259-4A6C-B15C-EB85814581F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21DA64EA-5438-4A6C-BE7B-97C2757CED6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54EB7E25-0E66-46B5-BA05-B2F94589424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88CA332C-C894-437D-A17E-3C16691E8E9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733727E7-81C7-4119-8EA8-BDE0E2AF31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335C4D0-9CE2-40D3-9C75-932F838B15D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B1743879-1A84-4FF4-B28B-C6DE58CC61B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D5EFF577-38BD-4772-8D16-5D036E0CE2A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F562D61E-81E8-46FB-A9E0-2F30168AA4DB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D79B8A17-8629-4514-B076-AB424A89720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BA8EBA8-BDF1-4361-A95A-569415215D0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612FB83-0759-4ED4-A57C-F67092425C2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2449026-8079-4E3F-A2A5-B6DEF18DEB9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6071DC91-CE70-4C4E-A8DC-671C73ED20C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34F84B63-DDB9-4A01-88D9-C72D0D7E9403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8A80A88-CEF9-45A8-84DD-16354AF9C0B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E7E5266-BB28-46F2-812E-D029BFAF55E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D8AE382-DA75-47F9-A685-FE6AE0A7B5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6C98CFB8-0338-4566-83EE-069D733325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05CD525C-1C98-48C5-8565-F86D2EC2CC3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EB958FBC-6849-4D08-8409-8982CE97724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7F15CEDC-AFC0-4F87-AA7F-FD8C79FA4E0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33DC6B51-CE2A-4E69-B2DC-4162F7E80A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B435BDEC-B88D-496F-98CE-CAF3F308CC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C9B7494-90A3-45DB-8218-FFC6DE20E4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3696BFC0-2BA1-4399-ACF0-078FC618348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813A466F-AD2A-46E6-84F7-392EFC6B190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AC1ED23-AF06-4FEB-AE9C-0A1F18C8F2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82C90193-856A-4649-A538-0F73F7171A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15E30F39-9252-42B1-990C-991BFEEA05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25468E80-F0FD-4256-9BA4-56352FE8BE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C5BE538F-AFFC-4D69-84F8-DC305706FD8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EEAF5D1E-8002-4179-B28D-C08D774C490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EE3FB3D6-B99E-4B51-A6EA-815451BF476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EE15828E-4297-430A-BEB2-CD2F92FA09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D0201C53-E85A-4E5B-A6E7-EBA40597547C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D8" authorId="0" shapeId="0" xr:uid="{F8162923-36FF-4A98-A470-E788005B15B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E8" authorId="0" shapeId="0" xr:uid="{19EE5338-FBE0-4BA6-8AF5-1743106ED377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F8" authorId="0" shapeId="0" xr:uid="{51AE3E79-9F12-479B-BA4F-DD6A181DEC4F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G8" authorId="0" shapeId="0" xr:uid="{45E70376-D6FE-434B-B8E0-9EE039C4E5BE}">
      <text>
        <r>
          <rPr>
            <sz val="9"/>
            <color indexed="81"/>
            <rFont val="Tahoma"/>
            <charset val="1"/>
          </rPr>
          <t>Source: Dom Delport:
Estimate from national average</t>
        </r>
      </text>
    </comment>
    <comment ref="C9" authorId="0" shapeId="0" xr:uid="{C212E2F1-18D2-4006-A2D7-4BFDDEEEF194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9" authorId="0" shapeId="0" xr:uid="{0B1F8918-102E-4698-98E7-BA9B5199399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9" authorId="0" shapeId="0" xr:uid="{402016AF-3A13-442F-A672-58A2363273C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9" authorId="0" shapeId="0" xr:uid="{6D79867C-0E10-4944-AD8A-837C9DCAC8CC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9" authorId="0" shapeId="0" xr:uid="{49EF94CD-C6CF-4CC9-BC17-DEDF088F4F52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0" authorId="0" shapeId="0" xr:uid="{978E9CBC-1F1F-4E9A-B4BC-4742D9D9A12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0" authorId="0" shapeId="0" xr:uid="{931F1961-3C1F-4948-9F4B-0B326B174B75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0" authorId="0" shapeId="0" xr:uid="{A78D029F-1C11-49AC-9F3B-D60BB6C2B7D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0" authorId="0" shapeId="0" xr:uid="{4F2A8417-5C53-4585-8528-ABF193D45A5D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0" authorId="0" shapeId="0" xr:uid="{9C099FC7-51F8-4E12-9173-140C8E8F6089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1" authorId="0" shapeId="0" xr:uid="{A6CF5290-79D5-4E50-A8FF-D31D290AD0F8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D11" authorId="0" shapeId="0" xr:uid="{FD1A755F-6FC9-4694-A18C-0781AB493647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E11" authorId="0" shapeId="0" xr:uid="{B6862C9A-A754-4091-A419-45E620B683E3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F11" authorId="0" shapeId="0" xr:uid="{AB8679FD-D1B7-4D6B-BA40-1EC01CDC2546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G11" authorId="0" shapeId="0" xr:uid="{B01E8DEF-EF0A-4A27-88D6-C3D4FF37CCA0}">
      <text>
        <r>
          <rPr>
            <sz val="9"/>
            <color indexed="81"/>
            <rFont val="Tahoma"/>
            <charset val="1"/>
          </rPr>
          <t>Source: Dom Delport:
DHS/LiST</t>
        </r>
      </text>
    </comment>
    <comment ref="C14" authorId="0" shapeId="0" xr:uid="{92E389F6-9A58-4205-861D-7D6D44A76FA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186E7841-269E-4CFE-A794-515CA1138C1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1C506B63-E5CB-49F1-A88C-8875FF2582E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D6A61F03-1B88-43A6-9165-944FEAE83C82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837C641-A863-41C1-83CE-43FBA27132C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D6125B46-8EFB-484D-A3F9-1C409560C92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03662AE3-27D4-4CF2-9B9B-DDEE5B93A35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0BA63CFB-1B76-4809-833B-16C8CA0AF0F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69CA663-15EF-4740-B5FB-E9ED2A209F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C440C4D9-32CB-4602-9FF9-C339098A5AD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034011F7-9394-44A1-A1AB-CD55401EC6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03F37D2B-4B4E-40B2-8791-2C5507F6D4C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60B8CB29-D39D-47E2-9468-10EB45D8FD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CA8C5A7E-0893-4C29-BA94-52E0676C44C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6FE2A03-B3B6-4ED9-998B-2BBCBD3030C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4BC0DA1D-D7AF-44B9-BE78-E28DAF8792A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91787472-50EA-40CD-B0BD-63921EA3E0F2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7BDDDA44-0626-415C-983B-ECD77F2EC3C5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D5A40AA-D4AF-4FA5-A76C-BBF9EC3C4C0B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4C465CC6-48B4-4B5C-B4E5-284E97DAF0E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A75F3247-A18E-42BA-94AE-BE5E057228F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5F3B9FC-D753-4DA5-A748-A772708A7F2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059559EA-DB2D-46B6-8EDE-C996106C0EC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BF4DB81C-378B-46B7-A6BB-7DA41D8C44E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CAA19EC0-7667-4DEC-88BD-A6EA1F00185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67C5A516-05AE-43CB-B4C0-814B10DEF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7FD958B4-5C16-4C81-96FD-F2E8A8B513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E0F68B96-1E7A-4E1A-BDC8-E73AD9636A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8A48F25-191A-419B-8CF1-682D8CA5B16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7B9FCB20-5F8F-4A72-9025-8DE363269D4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CEAE1FFE-FAB8-4B60-878A-14F901C54C7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418F1673-B35F-41AC-929C-1674B93F4BB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0AD8E4A4-56BF-45AD-A72B-7B045108CF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D7DD633-FBD6-4B66-8ABE-C7EBE2A1F5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9B66EB9-1A57-4975-9896-C1B4F6B8C1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5EB37C1-4F1A-4328-B863-CA82169521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D665094E-DD20-49C8-B26A-236E3A251D4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6ADFC2E2-CFB8-40CA-8CB5-FB71E29F72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27FE7B2D-7FC2-4D2C-A08D-BF8C620E51F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CC787AB0-1079-4112-8F21-5CB81B7A51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2154DF19-9685-4AD2-9DFE-AC3CB2E6CB2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1D0D6F5D-9C7A-48A9-B203-BE171EE24E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1EEFA995-C059-4E12-8374-DC6B0D72AD0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61535DC0-7215-42E6-9669-8BB3C40F0F7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81607FEE-6FFF-4CBE-B2B0-92ED31298E7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2140A788-E7BA-469C-B798-6C1E2754F9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96F3E73E-2928-441A-AC14-0720FDFADA6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3BBD1C95-78C7-448D-8F7A-D13BFDC2BB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3D3CFAF0-EA8A-41B3-9083-9C6868BB90C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9DFE0260-5032-48F5-A267-A65CB94B6C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61690D3F-FE06-4148-AEB8-A11288E6D0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0130BAD9-15EF-47E7-B739-F272B3B3A6E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0E7EADCF-AB70-4532-A1BF-8747AC8423C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120C6AD-CCB9-4C7C-B172-5DBAE93209B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520A1974-B2E2-4074-B615-112091D9FA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7F83739C-EB09-4E1C-B547-59E00DB3B81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92C16EFC-129C-46BF-B877-7080BEDC046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B5294CE4-6C41-42AD-85ED-5674BC364DC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DE51EBBE-F858-41D1-A68C-6AD8276AF4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385E8100-5730-4F68-B177-65C76F758E5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83A7BBFC-ED9F-4480-AE44-81DED6BF95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3E728C3D-B077-4B68-B491-8438F98AA07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76955EBB-4654-4B85-B28A-42101D1A7CA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24F3FADB-1EE6-40C8-A6A1-E49169B8B01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82AEBA5-DEC9-4AA6-A0B3-7DD8F33F2F0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3B7B8D55-10F4-4263-9BF9-E46F46FD317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1CDC710-28F4-49CE-83B1-989F24D3F5A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B5EB53C7-AB87-4000-A3DB-A0C408DC55CF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42864C8A-8336-4127-B31B-A71A2BA6722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1962E84F-2789-4851-A360-C5CE3F30A88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F77724FC-D1D5-465B-B58F-B215D8A8CF2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FC20E9DE-BCFA-4C17-A15A-A7098C126D4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BBE1566-4943-4BE7-B4BA-DA14AABE48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EFFE8C03-2B7F-4F5C-8C7D-E37357AD57C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63845EB8-529C-41C2-88CE-82678C668A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0C0A1EA6-02CB-44B3-8467-4A4CDD22F5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5A9ECADD-6DF2-4615-8E54-38825B6CDF4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F367019B-A229-4904-9628-4765E9B8613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561B5F8E-CC56-497F-8142-448CF4F067DC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DEFD1E64-980A-4D48-8164-C17DB6A2F51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BC8196F3-8348-4837-A586-0C6D9C740B5B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8B8EDA21-2F3C-46CD-8AF9-73FF73AFB00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546D82F8-1E96-496E-B608-A8A01E017A5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1F02864-BE61-482F-97A6-3C00B72E1B8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AB6FDE3B-23A4-4C90-AD3C-926C0ED0D6E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6367F174-F875-4174-8839-2C598F14AAF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208C016D-B5A7-45FE-83E3-D93EA8AD774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E59A3E97-B96D-42FC-941A-EE88CD110BAF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A307460-DBBA-4700-B672-D9ACCD65B7E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77358004-3030-464A-8F0C-02DE0F974BB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34B5A60F-2E51-4B13-A78E-8FCE9E49975A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17FA8D6-13CC-42E9-A141-6940BCC0825C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706C1B0D-432D-4C4B-A3D4-8F574E7590D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B98FD28C-FD7C-453F-B9DB-0B1DBEDFBC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E44691FC-A5EC-4738-8069-D94096D6F5E8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023D170-F6E9-4474-90AF-C87F682339A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D16C1C1B-2B9D-405F-BB08-2E4455E2EA5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2ED101EB-8B45-43F0-931C-0DD3DBEA7DA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B3849C0D-611F-4533-8251-25C7CA31631C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D8422B96-EC17-4B05-B964-005D2FF5720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5A2ED376-05B7-4AC0-824A-EF992B5FBAD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8E3DA6A-0F6A-4E0F-971D-1F9B2604371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A74B8682-93BE-426D-934D-65BA1B78A73F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061EFC49-746B-4EE3-84F3-C2034CC0276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A5C5DBC-9ED8-4ABF-9C41-E0C5FB5F3907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3A02AF5D-A7B4-436B-A106-B37AC9813D4A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7E924ACC-DFC3-4C4A-AE39-0448EDDBCFF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48AACBE8-CBBD-48FD-A506-8875A24904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EC7F7F0A-D6EE-4A8A-8228-1D39C3A73AC6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283046D1-768D-4DA9-8656-DCCD4F7CBFD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94846073-64CB-4411-AEF1-57D50D28CFE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4D61A319-34CC-4331-B312-22D9A5D3D78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F857F1A4-FCB1-45CE-9E4E-642C6127DA2F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36062D26-E896-484F-8797-FF420A58C41F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DF2C17AF-4B43-4E23-B1EE-714BC38CE949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47994EB-96C8-4970-8D29-1D6C6A03C6B1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8B3FC89F-FAD0-4F0A-AB98-56A82470C2F5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3955468F-50D6-4ADA-B3E5-B5E057ED773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4895A58-352F-407C-8A07-378CEFCB821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1CBDCD09-06FB-4998-A17D-0EA7DD17D3A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18B43906-2C09-449A-A10E-F8DAA147785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72D77C6-542F-484E-B834-B2CD8603D411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DCF82352-7237-49B8-A8C8-78A9D7DC411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D79F17F2-6C93-4B1B-9E1C-79ABC723A8C6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2F082BEE-9B62-409F-902E-9BF5125D5168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<sst xmlns="http://schemas.openxmlformats.org/spreadsheetml/2006/main" count="1102" uniqueCount="271">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</sst>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632591</v>
      </c>
    </row>
    <row r="8" spans="1:3" ht="15" customHeight="1" x14ac:dyDescent="0.25">
      <c r="B8" s="7" t="s">
        <v>106</v>
      </c>
      <c r="C8" s="70">
        <v>0.127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0.89261077880859407</v>
      </c>
    </row>
    <row r="11" spans="1:3" ht="15" customHeight="1" x14ac:dyDescent="0.25">
      <c r="B11" s="7" t="s">
        <v>108</v>
      </c>
      <c r="C11" s="70">
        <v>0.97799999999999998</v>
      </c>
    </row>
    <row r="12" spans="1:3" ht="15" customHeight="1" x14ac:dyDescent="0.25">
      <c r="B12" s="7" t="s">
        <v>109</v>
      </c>
      <c r="C12" s="70">
        <v>0.92599999999999993</v>
      </c>
    </row>
    <row r="13" spans="1:3" ht="15" customHeight="1" x14ac:dyDescent="0.25">
      <c r="B13" s="7" t="s">
        <v>110</v>
      </c>
      <c r="C13" s="70">
        <v>0.11599999999999999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0.13220000000000001</v>
      </c>
    </row>
    <row r="24" spans="1:3" ht="15" customHeight="1" x14ac:dyDescent="0.25">
      <c r="B24" s="20" t="s">
        <v>102</v>
      </c>
      <c r="C24" s="71">
        <v>0.57689999999999997</v>
      </c>
    </row>
    <row r="25" spans="1:3" ht="15" customHeight="1" x14ac:dyDescent="0.25">
      <c r="B25" s="20" t="s">
        <v>103</v>
      </c>
      <c r="C25" s="71">
        <v>0.27529999999999999</v>
      </c>
    </row>
    <row r="26" spans="1:3" ht="15" customHeight="1" x14ac:dyDescent="0.25">
      <c r="B26" s="20" t="s">
        <v>104</v>
      </c>
      <c r="C26" s="71">
        <v>1.5600000000000001E-2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2.2000000000000002</v>
      </c>
    </row>
    <row r="38" spans="1:5" ht="15" customHeight="1" x14ac:dyDescent="0.25">
      <c r="B38" s="16" t="s">
        <v>91</v>
      </c>
      <c r="C38" s="75">
        <v>4.0999999999999996</v>
      </c>
      <c r="D38" s="17"/>
      <c r="E38" s="18"/>
    </row>
    <row r="39" spans="1:5" ht="15" customHeight="1" x14ac:dyDescent="0.25">
      <c r="B39" s="16" t="s">
        <v>90</v>
      </c>
      <c r="C39" s="75">
        <v>5.4</v>
      </c>
      <c r="D39" s="17"/>
      <c r="E39" s="17"/>
    </row>
    <row r="40" spans="1:5" ht="15" customHeight="1" x14ac:dyDescent="0.25">
      <c r="B40" s="16" t="s">
        <v>171</v>
      </c>
      <c r="C40" s="75">
        <v>0.39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1.3300000000000001E-2</v>
      </c>
      <c r="D45" s="17"/>
    </row>
    <row r="46" spans="1:5" ht="15.75" customHeight="1" x14ac:dyDescent="0.25">
      <c r="B46" s="16" t="s">
        <v>11</v>
      </c>
      <c r="C46" s="71">
        <v>5.0300000000000004E-2</v>
      </c>
      <c r="D46" s="17"/>
    </row>
    <row r="47" spans="1:5" ht="15.75" customHeight="1" x14ac:dyDescent="0.25">
      <c r="B47" s="16" t="s">
        <v>12</v>
      </c>
      <c r="C47" s="71">
        <v>7.0699999999999999E-2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0.86570000000000003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0.63666645308375003</v>
      </c>
      <c r="D51" s="17"/>
    </row>
    <row r="52" spans="1:4" ht="15" customHeight="1" x14ac:dyDescent="0.25">
      <c r="B52" s="16" t="s">
        <v>125</v>
      </c>
      <c r="C52" s="76">
        <v>0.74162806526500002</v>
      </c>
    </row>
    <row r="53" spans="1:4" ht="15.75" customHeight="1" x14ac:dyDescent="0.25">
      <c r="B53" s="16" t="s">
        <v>126</v>
      </c>
      <c r="C53" s="76">
        <v>0.74162806526500002</v>
      </c>
    </row>
    <row r="54" spans="1:4" ht="15.75" customHeight="1" x14ac:dyDescent="0.25">
      <c r="B54" s="16" t="s">
        <v>127</v>
      </c>
      <c r="C54" s="76">
        <v>0.79074377875399993</v>
      </c>
    </row>
    <row r="55" spans="1:4" ht="15.75" customHeight="1" x14ac:dyDescent="0.25">
      <c r="B55" s="16" t="s">
        <v>128</v>
      </c>
      <c r="C55" s="76">
        <v>0.79074377875399993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1.9347037484885126E-2</v>
      </c>
    </row>
    <row r="59" spans="1:4" ht="15.75" customHeight="1" x14ac:dyDescent="0.25">
      <c r="B59" s="16" t="s">
        <v>132</v>
      </c>
      <c r="C59" s="70">
        <v>0.54078321553772646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83.013851094978818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40.440126307838554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806.1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9.31585037151752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2.0395920223204445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2.0395920223204445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2.0395920223204445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2.0395920223204445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13.57242575163446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13.57242575163446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1.2791915515298102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0.80299999999999994</v>
      </c>
      <c r="C18" s="85">
        <v>0.95</v>
      </c>
      <c r="D18" s="87">
        <v>18.465600261324937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18.465600261324937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18.465600261324937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143.79383063706058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23.715420771638293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4.6294916046252768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19.135548002264301</v>
      </c>
      <c r="E24" s="86" t="s">
        <v>202</v>
      </c>
    </row>
    <row r="25" spans="1:5" ht="15.75" customHeight="1" x14ac:dyDescent="0.25">
      <c r="A25" s="52" t="s">
        <v>87</v>
      </c>
      <c r="B25" s="85">
        <v>0.72599999999999998</v>
      </c>
      <c r="C25" s="85">
        <v>0.95</v>
      </c>
      <c r="D25" s="86">
        <v>19.116670718628576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6.479537395960203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11.11340211740737</v>
      </c>
      <c r="E27" s="86" t="s">
        <v>202</v>
      </c>
    </row>
    <row r="28" spans="1:5" ht="15.75" customHeight="1" x14ac:dyDescent="0.25">
      <c r="A28" s="52" t="s">
        <v>84</v>
      </c>
      <c r="B28" s="85">
        <v>0.60899999999999999</v>
      </c>
      <c r="C28" s="85">
        <v>0.95</v>
      </c>
      <c r="D28" s="86">
        <v>0.9562143850214182</v>
      </c>
      <c r="E28" s="86" t="s">
        <v>202</v>
      </c>
    </row>
    <row r="29" spans="1:5" ht="15.75" customHeight="1" x14ac:dyDescent="0.25">
      <c r="A29" s="52" t="s">
        <v>58</v>
      </c>
      <c r="B29" s="85">
        <v>0.80299999999999994</v>
      </c>
      <c r="C29" s="85">
        <v>0.95</v>
      </c>
      <c r="D29" s="86">
        <v>170.67126179613081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1.6460898553318948</v>
      </c>
      <c r="E30" s="86" t="s">
        <v>202</v>
      </c>
    </row>
    <row r="31" spans="1:5" ht="15.75" customHeight="1" x14ac:dyDescent="0.25">
      <c r="A31" s="52" t="s">
        <v>28</v>
      </c>
      <c r="B31" s="85">
        <v>0</v>
      </c>
      <c r="C31" s="85">
        <v>0.95</v>
      </c>
      <c r="D31" s="86">
        <v>2.8042389349532266</v>
      </c>
      <c r="E31" s="86" t="s">
        <v>202</v>
      </c>
    </row>
    <row r="32" spans="1:5" ht="15.75" customHeight="1" x14ac:dyDescent="0.25">
      <c r="A32" s="52" t="s">
        <v>83</v>
      </c>
      <c r="B32" s="85">
        <v>0.85199999999999998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0.879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0.93200000000000005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0.94900000000000007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0.77700000000000002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0.17300000000000001</v>
      </c>
      <c r="C37" s="85">
        <v>0.95</v>
      </c>
      <c r="D37" s="86">
        <v>1.8317785774350328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2.8253611410676664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0.63666645308375003</v>
      </c>
      <c r="C2" s="26">
        <f>'Baseline year population inputs'!C52</f>
        <v>0.74162806526500002</v>
      </c>
      <c r="D2" s="26">
        <f>'Baseline year population inputs'!C53</f>
        <v>0.74162806526500002</v>
      </c>
      <c r="E2" s="26">
        <f>'Baseline year population inputs'!C54</f>
        <v>0.79074377875399993</v>
      </c>
      <c r="F2" s="26">
        <f>'Baseline year population inputs'!C55</f>
        <v>0.79074377875399993</v>
      </c>
    </row>
    <row r="3" spans="1:6" ht="15.75" customHeight="1" x14ac:dyDescent="0.25">
      <c r="A3" s="3" t="s">
        <v>65</v>
      </c>
      <c r="B3" s="26">
        <f>frac_mam_1month * 2.6</f>
        <v>6.2400002600000011E-2</v>
      </c>
      <c r="C3" s="26">
        <f>frac_mam_1_5months * 2.6</f>
        <v>6.2400002600000011E-2</v>
      </c>
      <c r="D3" s="26">
        <f>frac_mam_6_11months * 2.6</f>
        <v>6.2400002600000011E-2</v>
      </c>
      <c r="E3" s="26">
        <f>frac_mam_12_23months * 2.6</f>
        <v>6.2400002600000011E-2</v>
      </c>
      <c r="F3" s="26">
        <f>frac_mam_24_59months * 2.6</f>
        <v>6.2400002600000011E-2</v>
      </c>
    </row>
    <row r="4" spans="1:6" ht="15.75" customHeight="1" x14ac:dyDescent="0.25">
      <c r="A4" s="3" t="s">
        <v>66</v>
      </c>
      <c r="B4" s="26">
        <f>frac_sam_1month * 2.6</f>
        <v>1.0400000000000001E-2</v>
      </c>
      <c r="C4" s="26">
        <f>frac_sam_1_5months * 2.6</f>
        <v>1.0400000000000001E-2</v>
      </c>
      <c r="D4" s="26">
        <f>frac_sam_6_11months * 2.6</f>
        <v>1.0400000000000001E-2</v>
      </c>
      <c r="E4" s="26">
        <f>frac_sam_12_23months * 2.6</f>
        <v>7.8000000000000005E-3</v>
      </c>
      <c r="F4" s="26">
        <f>frac_sam_24_59months * 2.6</f>
        <v>1.3000000000000001E-2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123471.32163599999</v>
      </c>
      <c r="C2" s="78">
        <v>324121</v>
      </c>
      <c r="D2" s="78">
        <v>735816</v>
      </c>
      <c r="E2" s="78">
        <v>687368</v>
      </c>
      <c r="F2" s="78">
        <v>951257</v>
      </c>
      <c r="G2" s="22">
        <f t="shared" ref="G2:G40" si="0">C2+D2+E2+F2</f>
        <v>2698562</v>
      </c>
      <c r="H2" s="22">
        <f t="shared" ref="H2:H40" si="1">(B2 + stillbirth*B2/(1000-stillbirth))/(1-abortion)</f>
        <v>142806.45940000415</v>
      </c>
      <c r="I2" s="22">
        <f>G2-H2</f>
        <v>2555755.5405999958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122262.10833333332</v>
      </c>
      <c r="C3" s="78">
        <v>316000</v>
      </c>
      <c r="D3" s="78">
        <v>717000</v>
      </c>
      <c r="E3" s="78">
        <v>705000</v>
      </c>
      <c r="F3" s="78">
        <v>910000</v>
      </c>
      <c r="G3" s="22">
        <f t="shared" si="0"/>
        <v>2648000</v>
      </c>
      <c r="H3" s="22">
        <f t="shared" si="1"/>
        <v>141407.8879088664</v>
      </c>
      <c r="I3" s="22">
        <f t="shared" ref="I3:I15" si="3">G3-H3</f>
        <v>2506592.1120911334</v>
      </c>
    </row>
    <row r="4" spans="1:9" ht="15.75" customHeight="1" x14ac:dyDescent="0.25">
      <c r="A4" s="7">
        <f t="shared" si="2"/>
        <v>2019</v>
      </c>
      <c r="B4" s="77">
        <v>121037.57466666665</v>
      </c>
      <c r="C4" s="78">
        <v>308000</v>
      </c>
      <c r="D4" s="78">
        <v>699000</v>
      </c>
      <c r="E4" s="78">
        <v>723000</v>
      </c>
      <c r="F4" s="78">
        <v>866000</v>
      </c>
      <c r="G4" s="22">
        <f t="shared" si="0"/>
        <v>2596000</v>
      </c>
      <c r="H4" s="22">
        <f t="shared" si="1"/>
        <v>139991.59694319338</v>
      </c>
      <c r="I4" s="22">
        <f t="shared" si="3"/>
        <v>2456008.4030568064</v>
      </c>
    </row>
    <row r="5" spans="1:9" ht="15.75" customHeight="1" x14ac:dyDescent="0.25">
      <c r="A5" s="7">
        <f t="shared" si="2"/>
        <v>2020</v>
      </c>
      <c r="B5" s="77">
        <v>119812.38499999999</v>
      </c>
      <c r="C5" s="78">
        <v>300000</v>
      </c>
      <c r="D5" s="78">
        <v>681000</v>
      </c>
      <c r="E5" s="78">
        <v>735000</v>
      </c>
      <c r="F5" s="78">
        <v>823000</v>
      </c>
      <c r="G5" s="22">
        <f t="shared" si="0"/>
        <v>2539000</v>
      </c>
      <c r="H5" s="22">
        <f t="shared" si="1"/>
        <v>138574.54725042387</v>
      </c>
      <c r="I5" s="22">
        <f t="shared" si="3"/>
        <v>2400425.452749576</v>
      </c>
    </row>
    <row r="6" spans="1:9" ht="15.75" customHeight="1" x14ac:dyDescent="0.25">
      <c r="A6" s="7">
        <f t="shared" si="2"/>
        <v>2021</v>
      </c>
      <c r="B6" s="77">
        <v>118606.39999999998</v>
      </c>
      <c r="C6" s="78">
        <v>294000</v>
      </c>
      <c r="D6" s="78">
        <v>668000</v>
      </c>
      <c r="E6" s="78">
        <v>746000</v>
      </c>
      <c r="F6" s="78">
        <v>783000</v>
      </c>
      <c r="G6" s="22">
        <f t="shared" si="0"/>
        <v>2491000</v>
      </c>
      <c r="H6" s="22">
        <f t="shared" si="1"/>
        <v>137179.70960183017</v>
      </c>
      <c r="I6" s="22">
        <f t="shared" si="3"/>
        <v>2353820.2903981698</v>
      </c>
    </row>
    <row r="7" spans="1:9" ht="15.75" customHeight="1" x14ac:dyDescent="0.25">
      <c r="A7" s="7">
        <f t="shared" si="2"/>
        <v>2022</v>
      </c>
      <c r="B7" s="77">
        <v>117389.11679999999</v>
      </c>
      <c r="C7" s="78">
        <v>287000</v>
      </c>
      <c r="D7" s="78">
        <v>656000</v>
      </c>
      <c r="E7" s="78">
        <v>751000</v>
      </c>
      <c r="F7" s="78">
        <v>742000</v>
      </c>
      <c r="G7" s="22">
        <f t="shared" si="0"/>
        <v>2436000</v>
      </c>
      <c r="H7" s="22">
        <f t="shared" si="1"/>
        <v>135771.80449823386</v>
      </c>
      <c r="I7" s="22">
        <f t="shared" si="3"/>
        <v>2300228.1955017662</v>
      </c>
    </row>
    <row r="8" spans="1:9" ht="15.75" customHeight="1" x14ac:dyDescent="0.25">
      <c r="A8" s="7">
        <f t="shared" si="2"/>
        <v>2023</v>
      </c>
      <c r="B8" s="77">
        <v>116170.95839999997</v>
      </c>
      <c r="C8" s="78">
        <v>282000</v>
      </c>
      <c r="D8" s="78">
        <v>645000</v>
      </c>
      <c r="E8" s="78">
        <v>752000</v>
      </c>
      <c r="F8" s="78">
        <v>705000</v>
      </c>
      <c r="G8" s="22">
        <f t="shared" si="0"/>
        <v>2384000</v>
      </c>
      <c r="H8" s="22">
        <f t="shared" si="1"/>
        <v>134362.88714165756</v>
      </c>
      <c r="I8" s="22">
        <f t="shared" si="3"/>
        <v>2249637.1128583425</v>
      </c>
    </row>
    <row r="9" spans="1:9" ht="15.75" customHeight="1" x14ac:dyDescent="0.25">
      <c r="A9" s="7">
        <f t="shared" si="2"/>
        <v>2024</v>
      </c>
      <c r="B9" s="77">
        <v>114941.93939999996</v>
      </c>
      <c r="C9" s="78">
        <v>279000</v>
      </c>
      <c r="D9" s="78">
        <v>633000</v>
      </c>
      <c r="E9" s="78">
        <v>748000</v>
      </c>
      <c r="F9" s="78">
        <v>679000</v>
      </c>
      <c r="G9" s="22">
        <f t="shared" si="0"/>
        <v>2339000</v>
      </c>
      <c r="H9" s="22">
        <f t="shared" si="1"/>
        <v>132941.40845656861</v>
      </c>
      <c r="I9" s="22">
        <f t="shared" si="3"/>
        <v>2206058.5915434314</v>
      </c>
    </row>
    <row r="10" spans="1:9" ht="15.75" customHeight="1" x14ac:dyDescent="0.25">
      <c r="A10" s="7">
        <f t="shared" si="2"/>
        <v>2025</v>
      </c>
      <c r="B10" s="77">
        <v>113702.38800000001</v>
      </c>
      <c r="C10" s="78">
        <v>277000</v>
      </c>
      <c r="D10" s="78">
        <v>621000</v>
      </c>
      <c r="E10" s="78">
        <v>741000</v>
      </c>
      <c r="F10" s="78">
        <v>664000</v>
      </c>
      <c r="G10" s="22">
        <f t="shared" si="0"/>
        <v>2303000</v>
      </c>
      <c r="H10" s="22">
        <f t="shared" si="1"/>
        <v>131507.74803783459</v>
      </c>
      <c r="I10" s="22">
        <f t="shared" si="3"/>
        <v>2171492.2519621653</v>
      </c>
    </row>
    <row r="11" spans="1:9" ht="15.75" customHeight="1" x14ac:dyDescent="0.25">
      <c r="A11" s="7">
        <f t="shared" si="2"/>
        <v>2026</v>
      </c>
      <c r="B11" s="77">
        <v>112408.3268</v>
      </c>
      <c r="C11" s="78">
        <v>279000</v>
      </c>
      <c r="D11" s="78">
        <v>610000</v>
      </c>
      <c r="E11" s="78">
        <v>732000</v>
      </c>
      <c r="F11" s="78">
        <v>662000</v>
      </c>
      <c r="G11" s="22">
        <f t="shared" si="0"/>
        <v>2283000</v>
      </c>
      <c r="H11" s="22">
        <f t="shared" si="1"/>
        <v>130011.0417924465</v>
      </c>
      <c r="I11" s="22">
        <f t="shared" si="3"/>
        <v>2152988.9582075537</v>
      </c>
    </row>
    <row r="12" spans="1:9" ht="15.75" customHeight="1" x14ac:dyDescent="0.25">
      <c r="A12" s="7">
        <f t="shared" si="2"/>
        <v>2027</v>
      </c>
      <c r="B12" s="77">
        <v>111104.61440000001</v>
      </c>
      <c r="C12" s="78">
        <v>283000</v>
      </c>
      <c r="D12" s="78">
        <v>598000</v>
      </c>
      <c r="E12" s="78">
        <v>718000</v>
      </c>
      <c r="F12" s="78">
        <v>673000</v>
      </c>
      <c r="G12" s="22">
        <f t="shared" si="0"/>
        <v>2272000</v>
      </c>
      <c r="H12" s="22">
        <f t="shared" si="1"/>
        <v>128503.17300597036</v>
      </c>
      <c r="I12" s="22">
        <f t="shared" si="3"/>
        <v>2143496.8269940298</v>
      </c>
    </row>
    <row r="13" spans="1:9" ht="15.75" customHeight="1" x14ac:dyDescent="0.25">
      <c r="A13" s="7">
        <f t="shared" si="2"/>
        <v>2028</v>
      </c>
      <c r="B13" s="77">
        <v>109791.58800000003</v>
      </c>
      <c r="C13" s="78">
        <v>288000</v>
      </c>
      <c r="D13" s="78">
        <v>586000</v>
      </c>
      <c r="E13" s="78">
        <v>701000</v>
      </c>
      <c r="F13" s="78">
        <v>691000</v>
      </c>
      <c r="G13" s="22">
        <f t="shared" si="0"/>
        <v>2266000</v>
      </c>
      <c r="H13" s="22">
        <f t="shared" si="1"/>
        <v>126984.5316826393</v>
      </c>
      <c r="I13" s="22">
        <f t="shared" si="3"/>
        <v>2139015.4683173606</v>
      </c>
    </row>
    <row r="14" spans="1:9" ht="15.75" customHeight="1" x14ac:dyDescent="0.25">
      <c r="A14" s="7">
        <f t="shared" si="2"/>
        <v>2029</v>
      </c>
      <c r="B14" s="77">
        <v>108441.30560000004</v>
      </c>
      <c r="C14" s="78">
        <v>292000</v>
      </c>
      <c r="D14" s="78">
        <v>576000</v>
      </c>
      <c r="E14" s="78">
        <v>684000</v>
      </c>
      <c r="F14" s="78">
        <v>709000</v>
      </c>
      <c r="G14" s="22">
        <f t="shared" si="0"/>
        <v>2261000</v>
      </c>
      <c r="H14" s="22">
        <f t="shared" si="1"/>
        <v>125422.80021188846</v>
      </c>
      <c r="I14" s="22">
        <f t="shared" si="3"/>
        <v>2135577.1997881117</v>
      </c>
    </row>
    <row r="15" spans="1:9" ht="15.75" customHeight="1" x14ac:dyDescent="0.25">
      <c r="A15" s="7">
        <f t="shared" si="2"/>
        <v>2030</v>
      </c>
      <c r="B15" s="77">
        <v>107073.74400000001</v>
      </c>
      <c r="C15" s="78">
        <v>294000</v>
      </c>
      <c r="D15" s="78">
        <v>568000</v>
      </c>
      <c r="E15" s="78">
        <v>668000</v>
      </c>
      <c r="F15" s="78">
        <v>723000</v>
      </c>
      <c r="G15" s="22">
        <f t="shared" si="0"/>
        <v>2253000</v>
      </c>
      <c r="H15" s="22">
        <f t="shared" si="1"/>
        <v>123841.08368436027</v>
      </c>
      <c r="I15" s="22">
        <f t="shared" si="3"/>
        <v>2129158.9163156399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127.22558020647556</v>
      </c>
      <c r="I17" s="22">
        <f t="shared" si="4"/>
        <v>-127.22558020647556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8.6679787499999994E-3</v>
      </c>
    </row>
    <row r="4" spans="1:8" ht="15.75" customHeight="1" x14ac:dyDescent="0.25">
      <c r="B4" s="24" t="s">
        <v>7</v>
      </c>
      <c r="C4" s="79">
        <v>0.13514749723859151</v>
      </c>
    </row>
    <row r="5" spans="1:8" ht="15.75" customHeight="1" x14ac:dyDescent="0.25">
      <c r="B5" s="24" t="s">
        <v>8</v>
      </c>
      <c r="C5" s="79">
        <v>7.5147340311363678E-2</v>
      </c>
    </row>
    <row r="6" spans="1:8" ht="15.75" customHeight="1" x14ac:dyDescent="0.25">
      <c r="B6" s="24" t="s">
        <v>10</v>
      </c>
      <c r="C6" s="79">
        <v>0.10533750274370973</v>
      </c>
    </row>
    <row r="7" spans="1:8" ht="15.75" customHeight="1" x14ac:dyDescent="0.25">
      <c r="B7" s="24" t="s">
        <v>13</v>
      </c>
      <c r="C7" s="79">
        <v>0.13476512059218274</v>
      </c>
    </row>
    <row r="8" spans="1:8" ht="15.75" customHeight="1" x14ac:dyDescent="0.25">
      <c r="B8" s="24" t="s">
        <v>14</v>
      </c>
      <c r="C8" s="79">
        <v>8.3676651686761602E-7</v>
      </c>
    </row>
    <row r="9" spans="1:8" ht="15.75" customHeight="1" x14ac:dyDescent="0.25">
      <c r="B9" s="24" t="s">
        <v>27</v>
      </c>
      <c r="C9" s="79">
        <v>0.25149257144138149</v>
      </c>
    </row>
    <row r="10" spans="1:8" ht="15.75" customHeight="1" x14ac:dyDescent="0.25">
      <c r="B10" s="24" t="s">
        <v>15</v>
      </c>
      <c r="C10" s="79">
        <v>0.28944115215625399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3.7001807719755801E-2</v>
      </c>
      <c r="D14" s="79">
        <v>3.7001807719755801E-2</v>
      </c>
      <c r="E14" s="79">
        <v>1.1592243875769299E-2</v>
      </c>
      <c r="F14" s="79">
        <v>1.1592243875769299E-2</v>
      </c>
    </row>
    <row r="15" spans="1:8" ht="15.75" customHeight="1" x14ac:dyDescent="0.25">
      <c r="B15" s="24" t="s">
        <v>16</v>
      </c>
      <c r="C15" s="79">
        <v>0.157087384513211</v>
      </c>
      <c r="D15" s="79">
        <v>0.157087384513211</v>
      </c>
      <c r="E15" s="79">
        <v>0.10474904202975199</v>
      </c>
      <c r="F15" s="79">
        <v>0.10474904202975199</v>
      </c>
    </row>
    <row r="16" spans="1:8" ht="15.75" customHeight="1" x14ac:dyDescent="0.25">
      <c r="B16" s="24" t="s">
        <v>17</v>
      </c>
      <c r="C16" s="79">
        <v>3.7899429620742602E-2</v>
      </c>
      <c r="D16" s="79">
        <v>3.7899429620742602E-2</v>
      </c>
      <c r="E16" s="79">
        <v>3.5503462332938003E-2</v>
      </c>
      <c r="F16" s="79">
        <v>3.5503462332938003E-2</v>
      </c>
    </row>
    <row r="17" spans="1:8" ht="15.75" customHeight="1" x14ac:dyDescent="0.25">
      <c r="B17" s="24" t="s">
        <v>18</v>
      </c>
      <c r="C17" s="79">
        <v>1.20079689020275E-4</v>
      </c>
      <c r="D17" s="79">
        <v>1.20079689020275E-4</v>
      </c>
      <c r="E17" s="79">
        <v>2.67284626715714E-4</v>
      </c>
      <c r="F17" s="79">
        <v>2.67284626715714E-4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1.01326807764497E-3</v>
      </c>
      <c r="D19" s="79">
        <v>1.01326807764497E-3</v>
      </c>
      <c r="E19" s="79">
        <v>5.0448817303540402E-4</v>
      </c>
      <c r="F19" s="79">
        <v>5.0448817303540402E-4</v>
      </c>
    </row>
    <row r="20" spans="1:8" ht="15.75" customHeight="1" x14ac:dyDescent="0.25">
      <c r="B20" s="24" t="s">
        <v>21</v>
      </c>
      <c r="C20" s="79">
        <v>2.2743731138362203E-2</v>
      </c>
      <c r="D20" s="79">
        <v>2.2743731138362203E-2</v>
      </c>
      <c r="E20" s="79">
        <v>1.2664982068833602E-2</v>
      </c>
      <c r="F20" s="79">
        <v>1.2664982068833602E-2</v>
      </c>
    </row>
    <row r="21" spans="1:8" ht="15.75" customHeight="1" x14ac:dyDescent="0.25">
      <c r="B21" s="24" t="s">
        <v>22</v>
      </c>
      <c r="C21" s="79">
        <v>8.3392539086424702E-2</v>
      </c>
      <c r="D21" s="79">
        <v>8.3392539086424702E-2</v>
      </c>
      <c r="E21" s="79">
        <v>0.24758658717712698</v>
      </c>
      <c r="F21" s="79">
        <v>0.24758658717712698</v>
      </c>
    </row>
    <row r="22" spans="1:8" ht="15.75" customHeight="1" x14ac:dyDescent="0.25">
      <c r="B22" s="24" t="s">
        <v>23</v>
      </c>
      <c r="C22" s="79">
        <v>0.66074176015483843</v>
      </c>
      <c r="D22" s="79">
        <v>0.66074176015483843</v>
      </c>
      <c r="E22" s="79">
        <v>0.58713190971582896</v>
      </c>
      <c r="F22" s="79">
        <v>0.58713190971582896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2.9700000000000001E-2</v>
      </c>
    </row>
    <row r="27" spans="1:8" ht="15.75" customHeight="1" x14ac:dyDescent="0.25">
      <c r="B27" s="24" t="s">
        <v>39</v>
      </c>
      <c r="C27" s="79">
        <v>2.1700000000000001E-2</v>
      </c>
    </row>
    <row r="28" spans="1:8" ht="15.75" customHeight="1" x14ac:dyDescent="0.25">
      <c r="B28" s="24" t="s">
        <v>40</v>
      </c>
      <c r="C28" s="79">
        <v>0.10589999999999999</v>
      </c>
    </row>
    <row r="29" spans="1:8" ht="15.75" customHeight="1" x14ac:dyDescent="0.25">
      <c r="B29" s="24" t="s">
        <v>41</v>
      </c>
      <c r="C29" s="79">
        <v>0.1193</v>
      </c>
    </row>
    <row r="30" spans="1:8" ht="15.75" customHeight="1" x14ac:dyDescent="0.25">
      <c r="B30" s="24" t="s">
        <v>42</v>
      </c>
      <c r="C30" s="79">
        <v>5.9299999999999999E-2</v>
      </c>
    </row>
    <row r="31" spans="1:8" ht="15.75" customHeight="1" x14ac:dyDescent="0.25">
      <c r="B31" s="24" t="s">
        <v>43</v>
      </c>
      <c r="C31" s="79">
        <v>0.21510000000000001</v>
      </c>
    </row>
    <row r="32" spans="1:8" ht="15.75" customHeight="1" x14ac:dyDescent="0.25">
      <c r="B32" s="24" t="s">
        <v>44</v>
      </c>
      <c r="C32" s="79">
        <v>9.6000000000000002E-2</v>
      </c>
    </row>
    <row r="33" spans="2:3" ht="15.75" customHeight="1" x14ac:dyDescent="0.25">
      <c r="B33" s="24" t="s">
        <v>45</v>
      </c>
      <c r="C33" s="79">
        <v>7.9299999999999995E-2</v>
      </c>
    </row>
    <row r="34" spans="2:3" ht="15.75" customHeight="1" x14ac:dyDescent="0.25">
      <c r="B34" s="24" t="s">
        <v>46</v>
      </c>
      <c r="C34" s="79">
        <v>0.27369999999776484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0.77024627105043464</v>
      </c>
      <c r="D2" s="80">
        <v>0.77024627105043464</v>
      </c>
      <c r="E2" s="80">
        <v>0.74737824335114933</v>
      </c>
      <c r="F2" s="80">
        <v>0.71005376730158154</v>
      </c>
      <c r="G2" s="80">
        <v>0.69629103366288381</v>
      </c>
    </row>
    <row r="3" spans="1:15" ht="15.75" customHeight="1" x14ac:dyDescent="0.25">
      <c r="A3" s="5"/>
      <c r="B3" s="11" t="s">
        <v>118</v>
      </c>
      <c r="C3" s="80">
        <v>0.15049587928258157</v>
      </c>
      <c r="D3" s="80">
        <v>0.15049587928258157</v>
      </c>
      <c r="E3" s="80">
        <v>0.15005277472687165</v>
      </c>
      <c r="F3" s="80">
        <v>0.16006992442058773</v>
      </c>
      <c r="G3" s="80">
        <v>0.17383265805928549</v>
      </c>
    </row>
    <row r="4" spans="1:15" ht="15.75" customHeight="1" x14ac:dyDescent="0.25">
      <c r="A4" s="5"/>
      <c r="B4" s="11" t="s">
        <v>116</v>
      </c>
      <c r="C4" s="81">
        <v>1.3320647002854426E-2</v>
      </c>
      <c r="D4" s="81">
        <v>1.3320647002854426E-2</v>
      </c>
      <c r="E4" s="81">
        <v>3.6631779257849675E-2</v>
      </c>
      <c r="F4" s="81">
        <v>6.3939105613701253E-2</v>
      </c>
      <c r="G4" s="81">
        <v>6.3939105613701253E-2</v>
      </c>
    </row>
    <row r="5" spans="1:15" ht="15.75" customHeight="1" x14ac:dyDescent="0.25">
      <c r="A5" s="5"/>
      <c r="B5" s="11" t="s">
        <v>119</v>
      </c>
      <c r="C5" s="81">
        <v>6.5937202664129418E-2</v>
      </c>
      <c r="D5" s="81">
        <v>6.5937202664129418E-2</v>
      </c>
      <c r="E5" s="81">
        <v>6.5937202664129418E-2</v>
      </c>
      <c r="F5" s="81">
        <v>6.5937202664129418E-2</v>
      </c>
      <c r="G5" s="81">
        <v>6.5937202664129418E-2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0.88901173867982919</v>
      </c>
      <c r="D8" s="80">
        <v>0.88901173867982919</v>
      </c>
      <c r="E8" s="80">
        <v>0.9040486312887539</v>
      </c>
      <c r="F8" s="80">
        <v>0.90734944519033234</v>
      </c>
      <c r="G8" s="80">
        <v>0.88272727181818189</v>
      </c>
    </row>
    <row r="9" spans="1:15" ht="15.75" customHeight="1" x14ac:dyDescent="0.25">
      <c r="B9" s="7" t="s">
        <v>121</v>
      </c>
      <c r="C9" s="80">
        <v>8.2988260320170759E-2</v>
      </c>
      <c r="D9" s="80">
        <v>8.2988260320170759E-2</v>
      </c>
      <c r="E9" s="80">
        <v>6.7951367711246213E-2</v>
      </c>
      <c r="F9" s="80">
        <v>6.5650553809667694E-2</v>
      </c>
      <c r="G9" s="80">
        <v>8.8272727181818195E-2</v>
      </c>
    </row>
    <row r="10" spans="1:15" ht="15.75" customHeight="1" x14ac:dyDescent="0.25">
      <c r="B10" s="7" t="s">
        <v>122</v>
      </c>
      <c r="C10" s="81">
        <v>2.4000001000000003E-2</v>
      </c>
      <c r="D10" s="81">
        <v>2.4000001000000003E-2</v>
      </c>
      <c r="E10" s="81">
        <v>2.4000001000000003E-2</v>
      </c>
      <c r="F10" s="81">
        <v>2.4000001000000003E-2</v>
      </c>
      <c r="G10" s="81">
        <v>2.4000001000000003E-2</v>
      </c>
    </row>
    <row r="11" spans="1:15" ht="15.75" customHeight="1" x14ac:dyDescent="0.25">
      <c r="B11" s="7" t="s">
        <v>123</v>
      </c>
      <c r="C11" s="81">
        <v>4.0000000000000001E-3</v>
      </c>
      <c r="D11" s="81">
        <v>4.0000000000000001E-3</v>
      </c>
      <c r="E11" s="81">
        <v>4.0000000000000001E-3</v>
      </c>
      <c r="F11" s="81">
        <v>3.0000000000000001E-3</v>
      </c>
      <c r="G11" s="81">
        <v>5.0000000000000001E-3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0.34035478874999997</v>
      </c>
      <c r="D14" s="82">
        <v>0.31335189346999998</v>
      </c>
      <c r="E14" s="82">
        <v>0.31335189346999998</v>
      </c>
      <c r="F14" s="82">
        <v>0.19796945741300001</v>
      </c>
      <c r="G14" s="82">
        <v>0.19796945741300001</v>
      </c>
      <c r="H14" s="83">
        <v>0.28499999999999998</v>
      </c>
      <c r="I14" s="83">
        <v>0.28499999999999998</v>
      </c>
      <c r="J14" s="83">
        <v>0.28499999999999998</v>
      </c>
      <c r="K14" s="83">
        <v>0.28499999999999998</v>
      </c>
      <c r="L14" s="83">
        <v>0.195116418721</v>
      </c>
      <c r="M14" s="83">
        <v>0.27895732307599996</v>
      </c>
      <c r="N14" s="83">
        <v>0.18527184801399998</v>
      </c>
      <c r="O14" s="83">
        <v>0.20010785830950004</v>
      </c>
    </row>
    <row r="15" spans="1:15" ht="15.75" customHeight="1" x14ac:dyDescent="0.25">
      <c r="B15" s="16" t="s">
        <v>68</v>
      </c>
      <c r="C15" s="80">
        <f>iron_deficiency_anaemia*C14</f>
        <v>0.18405815708388859</v>
      </c>
      <c r="D15" s="80">
        <f t="shared" ref="D15:O15" si="0">iron_deficiency_anaemia*D14</f>
        <v>0.16945544454554171</v>
      </c>
      <c r="E15" s="80">
        <f t="shared" si="0"/>
        <v>0.16945544454554171</v>
      </c>
      <c r="F15" s="80">
        <f t="shared" si="0"/>
        <v>0.10705855975806114</v>
      </c>
      <c r="G15" s="80">
        <f t="shared" si="0"/>
        <v>0.10705855975806114</v>
      </c>
      <c r="H15" s="80">
        <f t="shared" si="0"/>
        <v>0.15412321642825202</v>
      </c>
      <c r="I15" s="80">
        <f t="shared" si="0"/>
        <v>0.15412321642825202</v>
      </c>
      <c r="J15" s="80">
        <f t="shared" si="0"/>
        <v>0.15412321642825202</v>
      </c>
      <c r="K15" s="80">
        <f t="shared" si="0"/>
        <v>0.15412321642825202</v>
      </c>
      <c r="L15" s="80">
        <f t="shared" si="0"/>
        <v>0.10551568432014782</v>
      </c>
      <c r="M15" s="80">
        <f t="shared" si="0"/>
        <v>0.15085543817083569</v>
      </c>
      <c r="N15" s="80">
        <f t="shared" si="0"/>
        <v>0.10019190571762786</v>
      </c>
      <c r="O15" s="80">
        <f t="shared" si="0"/>
        <v>0.10821497107097919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0.93299999999999994</v>
      </c>
      <c r="D2" s="81">
        <v>0.29499999999999998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1.4999999999999999E-2</v>
      </c>
      <c r="D3" s="81">
        <v>6.2E-2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4.7E-2</v>
      </c>
      <c r="D4" s="81">
        <v>0.436</v>
      </c>
      <c r="E4" s="81">
        <v>0.57299999999999995</v>
      </c>
      <c r="F4" s="81">
        <v>0.307</v>
      </c>
      <c r="G4" s="81">
        <v>0</v>
      </c>
    </row>
    <row r="5" spans="1:7" x14ac:dyDescent="0.25">
      <c r="B5" s="43" t="s">
        <v>169</v>
      </c>
      <c r="C5" s="80">
        <f>1-SUM(C2:C4)</f>
        <v>5.0000000000000044E-3</v>
      </c>
      <c r="D5" s="80">
        <f>1-SUM(D2:D4)</f>
        <v>0.20700000000000007</v>
      </c>
      <c r="E5" s="80">
        <f>1-SUM(E2:E4)</f>
        <v>0.42700000000000005</v>
      </c>
      <c r="F5" s="80">
        <f>1-SUM(F2:F4)</f>
        <v>0.69300000000000006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8.5630000000000012E-2</v>
      </c>
      <c r="D2" s="144">
        <v>8.6309999999999998E-2</v>
      </c>
      <c r="E2" s="144">
        <v>8.7040000000000006E-2</v>
      </c>
      <c r="F2" s="144">
        <v>8.7789999999999993E-2</v>
      </c>
      <c r="G2" s="144">
        <v>8.8650000000000007E-2</v>
      </c>
      <c r="H2" s="144">
        <v>8.9550000000000005E-2</v>
      </c>
      <c r="I2" s="144">
        <v>9.0490000000000001E-2</v>
      </c>
      <c r="J2" s="144">
        <v>9.1410000000000005E-2</v>
      </c>
      <c r="K2" s="144">
        <v>9.2349999999999988E-2</v>
      </c>
      <c r="L2" s="144">
        <v>9.326000000000001E-2</v>
      </c>
      <c r="M2" s="144">
        <v>9.4140000000000001E-2</v>
      </c>
      <c r="N2" s="144">
        <v>9.5020000000000007E-2</v>
      </c>
      <c r="O2" s="144">
        <v>9.5939999999999998E-2</v>
      </c>
      <c r="P2" s="144">
        <v>9.69E-2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1.8839999999999999E-2</v>
      </c>
      <c r="D4" s="144">
        <v>1.864E-2</v>
      </c>
      <c r="E4" s="144">
        <v>1.8420000000000002E-2</v>
      </c>
      <c r="F4" s="144">
        <v>1.821E-2</v>
      </c>
      <c r="G4" s="144">
        <v>1.7950000000000001E-2</v>
      </c>
      <c r="H4" s="144">
        <v>1.7669999999999998E-2</v>
      </c>
      <c r="I4" s="144">
        <v>1.7420000000000001E-2</v>
      </c>
      <c r="J4" s="144">
        <v>1.719E-2</v>
      </c>
      <c r="K4" s="144">
        <v>1.6979999999999999E-2</v>
      </c>
      <c r="L4" s="144">
        <v>1.6810000000000002E-2</v>
      </c>
      <c r="M4" s="144">
        <v>1.6659999999999998E-2</v>
      </c>
      <c r="N4" s="144">
        <v>1.652E-2</v>
      </c>
      <c r="O4" s="144">
        <v>1.6379999999999999E-2</v>
      </c>
      <c r="P4" s="144">
        <v>1.6240000000000001E-2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0.11978131525786304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0.15412321642825202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0.11772004489129048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0.40133333333333332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0.39566666666666661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5.1479999999999997</v>
      </c>
      <c r="D13" s="143">
        <v>5.0519999999999996</v>
      </c>
      <c r="E13" s="143">
        <v>4.9530000000000003</v>
      </c>
      <c r="F13" s="143">
        <v>4.8689999999999998</v>
      </c>
      <c r="G13" s="143">
        <v>4.782</v>
      </c>
      <c r="H13" s="143">
        <v>4.6929999999999996</v>
      </c>
      <c r="I13" s="143">
        <v>4.6059999999999999</v>
      </c>
      <c r="J13" s="143">
        <v>4.5190000000000001</v>
      </c>
      <c r="K13" s="143">
        <v>4.4390000000000001</v>
      </c>
      <c r="L13" s="143">
        <v>4.2279999999999998</v>
      </c>
      <c r="M13" s="143">
        <v>4.1639999999999997</v>
      </c>
      <c r="N13" s="143">
        <v>4.056</v>
      </c>
      <c r="O13" s="143">
        <v>3.996</v>
      </c>
      <c r="P13" s="143">
        <v>3.9319999999999999</v>
      </c>
    </row>
    <row r="14" spans="1:16" x14ac:dyDescent="0.25">
      <c r="B14" s="16" t="s">
        <v>170</v>
      </c>
      <c r="C14" s="143">
        <f>maternal_mortality</f>
        <v>0.39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0.127</v>
      </c>
      <c r="E2" s="92">
        <f>food_insecure</f>
        <v>0.127</v>
      </c>
      <c r="F2" s="92">
        <f>food_insecure</f>
        <v>0.127</v>
      </c>
      <c r="G2" s="92">
        <f>food_insecure</f>
        <v>0.127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0.127</v>
      </c>
      <c r="F5" s="92">
        <f>food_insecure</f>
        <v>0.127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2.4487171272451924E-2</v>
      </c>
      <c r="D7" s="92">
        <f>diarrhoea_1_5mo/26</f>
        <v>2.8524156356346156E-2</v>
      </c>
      <c r="E7" s="92">
        <f>diarrhoea_6_11mo/26</f>
        <v>2.8524156356346156E-2</v>
      </c>
      <c r="F7" s="92">
        <f>diarrhoea_12_23mo/26</f>
        <v>3.0413222259769227E-2</v>
      </c>
      <c r="G7" s="92">
        <f>diarrhoea_24_59mo/26</f>
        <v>3.0413222259769227E-2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0.127</v>
      </c>
      <c r="F8" s="92">
        <f>food_insecure</f>
        <v>0.127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0.92599999999999993</v>
      </c>
      <c r="E9" s="92">
        <f>IF(ISBLANK(comm_deliv), frac_children_health_facility,1)</f>
        <v>0.92599999999999993</v>
      </c>
      <c r="F9" s="92">
        <f>IF(ISBLANK(comm_deliv), frac_children_health_facility,1)</f>
        <v>0.92599999999999993</v>
      </c>
      <c r="G9" s="92">
        <f>IF(ISBLANK(comm_deliv), frac_children_health_facility,1)</f>
        <v>0.92599999999999993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2.4487171272451924E-2</v>
      </c>
      <c r="D11" s="92">
        <f>diarrhoea_1_5mo/26</f>
        <v>2.8524156356346156E-2</v>
      </c>
      <c r="E11" s="92">
        <f>diarrhoea_6_11mo/26</f>
        <v>2.8524156356346156E-2</v>
      </c>
      <c r="F11" s="92">
        <f>diarrhoea_12_23mo/26</f>
        <v>3.0413222259769227E-2</v>
      </c>
      <c r="G11" s="92">
        <f>diarrhoea_24_59mo/26</f>
        <v>3.0413222259769227E-2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0.127</v>
      </c>
      <c r="I14" s="92">
        <f>food_insecure</f>
        <v>0.127</v>
      </c>
      <c r="J14" s="92">
        <f>food_insecure</f>
        <v>0.127</v>
      </c>
      <c r="K14" s="92">
        <f>food_insecure</f>
        <v>0.127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0.97799999999999998</v>
      </c>
      <c r="I17" s="92">
        <f>frac_PW_health_facility</f>
        <v>0.97799999999999998</v>
      </c>
      <c r="J17" s="92">
        <f>frac_PW_health_facility</f>
        <v>0.97799999999999998</v>
      </c>
      <c r="K17" s="92">
        <f>frac_PW_health_facility</f>
        <v>0.97799999999999998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0.11599999999999999</v>
      </c>
      <c r="M23" s="92">
        <f>famplan_unmet_need</f>
        <v>0.11599999999999999</v>
      </c>
      <c r="N23" s="92">
        <f>famplan_unmet_need</f>
        <v>0.11599999999999999</v>
      </c>
      <c r="O23" s="92">
        <f>famplan_unmet_need</f>
        <v>0.11599999999999999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5.5484788912963698E-2</v>
      </c>
      <c r="M24" s="92">
        <f>(1-food_insecure)*(0.49)+food_insecure*(0.7)</f>
        <v>0.51666999999999996</v>
      </c>
      <c r="N24" s="92">
        <f>(1-food_insecure)*(0.49)+food_insecure*(0.7)</f>
        <v>0.51666999999999996</v>
      </c>
      <c r="O24" s="92">
        <f>(1-food_insecure)*(0.49)+food_insecure*(0.7)</f>
        <v>0.51666999999999996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2.3779195248413015E-2</v>
      </c>
      <c r="M25" s="92">
        <f>(1-food_insecure)*(0.21)+food_insecure*(0.3)</f>
        <v>0.22142999999999999</v>
      </c>
      <c r="N25" s="92">
        <f>(1-food_insecure)*(0.21)+food_insecure*(0.3)</f>
        <v>0.22142999999999999</v>
      </c>
      <c r="O25" s="92">
        <f>(1-food_insecure)*(0.21)+food_insecure*(0.3)</f>
        <v>0.22142999999999999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2.8125237030029209E-2</v>
      </c>
      <c r="M26" s="92">
        <f>(1-food_insecure)*(0.3)</f>
        <v>0.26189999999999997</v>
      </c>
      <c r="N26" s="92">
        <f>(1-food_insecure)*(0.3)</f>
        <v>0.26189999999999997</v>
      </c>
      <c r="O26" s="92">
        <f>(1-food_insecure)*(0.3)</f>
        <v>0.26189999999999997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0.89261077880859407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2020-03-24T06:48:55Z</dcterms:modified>
</cp:coreProperties>
</file>