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EE6FA9E4-D70D-48F5-A991-BE2A2BFDAE79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I17" i="2" s="1"/>
  <c r="G18" i="2"/>
  <c r="H18" i="2"/>
  <c r="I18" i="2" s="1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G32" i="2"/>
  <c r="H32" i="2"/>
  <c r="I32" i="2" s="1"/>
  <c r="G33" i="2"/>
  <c r="H33" i="2"/>
  <c r="G34" i="2"/>
  <c r="H34" i="2"/>
  <c r="I34" i="2" s="1"/>
  <c r="G35" i="2"/>
  <c r="H35" i="2"/>
  <c r="I35" i="2" s="1"/>
  <c r="G36" i="2"/>
  <c r="H36" i="2"/>
  <c r="I36" i="2" s="1"/>
  <c r="G37" i="2"/>
  <c r="H37" i="2"/>
  <c r="I37" i="2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H7" i="2"/>
  <c r="H8" i="2"/>
  <c r="H9" i="2"/>
  <c r="H10" i="2"/>
  <c r="H11" i="2"/>
  <c r="I11" i="2" s="1"/>
  <c r="H12" i="2"/>
  <c r="I12" i="2" s="1"/>
  <c r="H13" i="2"/>
  <c r="I13" i="2" s="1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1" i="2"/>
  <c r="I27" i="2"/>
  <c r="I33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4" i="2"/>
  <c r="I10" i="2"/>
  <c r="I9" i="2"/>
  <c r="I8" i="2"/>
  <c r="I7" i="2"/>
  <c r="I6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846D9A67-4116-419B-AA94-4C1FAD5CBA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378A17DA-9477-4D2A-8A29-1DCB5630F5B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868FBE45-6A15-4D22-B34D-297B4566F716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4D2D9A53-BB19-483B-8176-57FF309418A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D0B51FC1-1A7C-47F1-AEAB-76E3683F80E2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9371AABA-95A0-4820-87F1-378306ADC192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A80E80C2-DE9E-49F8-9C64-41217A171F0B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0C92C3C7-7AC6-4123-82DD-83CC8720CAA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67152C28-8959-48B5-9832-E553C82AEC4A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A92CBCE3-2365-4F9A-B056-B1482965690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EF8C9E3D-DFFB-4248-BE63-6B56A06504F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8EBB2218-6287-4724-BAFB-A0F79D0D709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25EED755-9B3A-4B19-B2C6-2F3903529A9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00AC18E5-BA24-4F3F-8B34-00C1B3299E5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B2A04FF2-72D8-42BE-912E-62289BD6B94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FC3F134F-4492-43A1-A1DF-DEC036C5F38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22B95F96-FA5F-4268-A9A1-FDE98640D30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109846B2-C4ED-435B-9EEF-553B142E186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AC762D63-64CB-462A-8FB6-D294FF2764F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F0978F58-BCB1-4C4B-8E8A-9AD06340B61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A37E06A8-B704-480F-BB92-528E1F53462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E7BA3F2E-1F63-4AE8-97B8-1CA67B57FF4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6789071D-3BDB-4378-9D33-8D254D0AD6DA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C566BBAE-3C61-4226-AA86-DD65C5AB865D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76FD87D7-1769-4926-866B-42A9446EEF88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C3163C33-B948-4A02-87AD-BDBFEF349A51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709EFB96-F085-4933-A130-0BE0C1D64F86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39B8D040-B359-47E4-A8C4-0888B7E27633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B08623E0-247F-47FB-B5CA-3229C6FE7A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24FBACED-D0EC-46C5-AFDC-22C11C55B0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F73D0A87-0B24-4168-BB97-5D1387F683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7260C8B4-EF28-4E60-9480-75DFFAA15CE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8B5D5E82-BD9F-4D0E-9F25-8C25873EC2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5720F272-3B60-47F1-9E3B-56C6C76F17CE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8B2CBB72-11B9-4F53-A2A5-A4269BC16F1D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85ABFFE3-2FF5-417E-B235-25245EBDD6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99D6C790-0F52-4F3C-92C5-F71E13C06D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2836D2AC-C625-450F-B359-493C4FA36D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86D3BF0F-6997-4D35-BE82-3A89D2AF86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B671AA4A-614D-4350-AB7D-1B5E52CE40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2DA48E30-26B3-46CA-9F88-17CC657923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A3CF60DB-415D-47A0-AFF3-8439595161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2FB3497E-7B63-4D6F-A091-22C6405A0F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9BCA21BF-DFA5-4BBE-91ED-50ADC55086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9A96679E-B77A-4BDF-B07B-9DECBBB225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54BC96E5-ED7A-40EB-A550-3D9093830F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7F62056D-4FE9-4242-A336-85E0D4CDA4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8529FC6E-2C14-446B-9A10-69F71B53E2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C8B038D2-242C-4C40-87D6-BECBDE83AF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BE8E7DDF-AAF0-4D59-A233-E60E355771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52E3F08B-B913-4FEF-BBEE-42B83BD052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1B0F2C3C-35E6-41E3-9050-DACCA36B98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7E47A656-4077-4724-AFE0-ABD9B5E6DA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37FE3E2F-5414-45F0-96AF-CC5E432182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83C6DD91-1A98-4420-BD92-3743E1D8D2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7EF988A8-7E4B-4C28-A9A5-89ACEE6A63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CACA1F48-A50D-44E2-83A6-3E3FBFEAEC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F89B45BF-58B4-4DA6-8185-68A757CD87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078DBC58-9A6D-4463-B107-7AE5D092E5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9398E926-0CC5-40FF-9B51-36B69CB714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4F7BF76E-0700-43DF-AF7F-3242A88EE6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B9AC044D-A90F-4585-A102-61BA49E1BB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E0EE0D4B-BCC8-4718-9860-23E6DA6B3F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E9BA9D80-D40C-438F-BFD4-0103E49CB1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77241651-2967-44F8-ACE8-BEB18757EB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8E178457-6317-4588-9B16-DE73F37279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F04028B1-3831-432E-9AD3-1FBCFEA32C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463B4524-6F14-49A2-AFDC-8578FB66FF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101BF481-5496-4403-BEEE-9013D174AE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549F03DD-2519-4F18-8D45-E09BA22F9C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B3F17B75-322D-467E-9112-8B19D1A74B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28A3094E-DE75-43EB-8E8D-B13FA5F069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74810182-C5F5-4393-BA69-ABE3B6226E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BC297077-62F2-467E-8901-5CC8D968EC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C4E6FD02-D360-4D01-B1E7-68B12F12CF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461F51FA-9F6A-49A7-9FEB-9E37797288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E63B9E0E-5288-40EC-85E2-6052392800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3B629E2D-3D85-44EB-9C21-49102BB968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F66E596F-3195-44A6-BE52-6FACC9E320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5DC480F9-075C-4FA5-837F-899228D716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F9FA493B-4B28-4666-AD4C-1B468AF054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9BE8B768-2D5E-42C3-A2DA-ADCB2AEBE3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A3B023CD-E50E-4BA1-97AE-8158A0EDD0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F94FDCEF-A2CF-427F-9B94-1084380787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A30DACAD-1E78-4924-9A9A-CF0B0C2FC0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F345DD79-48DE-4FC6-ACAA-988D91967F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C0C36E3A-5C3A-4D91-8431-35A88EE0F0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F988E1FA-582D-40BE-9424-8F8DDAE2B0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59BC7BB9-20EA-4F9F-B37D-1CA5DD0E90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B7517D3A-4825-4AAE-8629-1A56BBAF5D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8E1F088C-AC96-4930-B1FC-3501EED903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C79893C6-7C79-41C5-84D2-B06BAFF53A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D09CB119-489C-40B8-8D83-7C3002614B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8279017E-95FD-46A2-9599-D1C833523B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4B69BAD3-42B6-45FF-A1B3-A1BE09A3FE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0BB39D50-7AF8-4D20-A635-11C6F228AE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5DD24BCA-C62D-480C-B964-2B0EC22AF2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7669588A-C2F0-439D-8DCD-E627CAF398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18643390-47EE-4CB0-A67B-89FAF5B79A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E32BB918-87C5-4CFA-A053-2212E13158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1495CE11-E353-4D9C-99B1-C2E4524872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9D4DAE50-AAC6-4D56-95FF-E08086CE6A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10F77022-8A6F-45D5-82A7-23D4B5093C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B48C62D2-39AD-4540-9012-2C5FA8E51A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59538988-CB7B-477C-9DDD-B192EEA83D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01538440-6976-4E20-B351-276CF35D59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6092F85B-36C2-4249-AFF6-34EAAA4070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ECEE338D-7343-472B-94AC-1B1C31DE63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5AE585FD-6CC1-4553-A934-94C151AC25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78618FB3-B111-452D-8D1A-131FD1E45C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CE04D09C-A8EB-4F02-8B33-DC7A129746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BD82DC96-9AE1-4B02-B830-8E6B09BC16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68D7FB29-5F54-461D-A6E1-D67F3F0419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28400576-0D8C-44A6-8A95-3A743D2D977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3CDEA95E-A2B9-403E-8687-10BBFFCB7F2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80AD8BE7-9FD4-485C-9027-AAB5EEA5BCA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1F1DB8F6-C4F3-44E7-BCAC-006A2FD5362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1B43DD97-EDC3-41F7-A308-39CB3C93F69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8F20FDD6-15D7-4AFA-8300-A5D66E83183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9BC28A06-C631-495C-93AE-D54347FE54D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DD0EF70A-F00F-4FF7-9EDE-E701F0D292F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3A23D69E-B7A6-4409-BE25-0F6D7571B98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5D3AC567-024F-4385-BE97-E65593B13EE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EEA2077B-41DA-4930-A4E2-4191C8D8127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44891AEF-805D-48EB-ADA9-20B1B7CC4FF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B433B679-05C7-4B0C-8B6A-AB2B80E21ED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CE98DA4E-9FA6-4DFC-BC87-BE556831B32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AFC1F6C5-1B22-4148-BDE0-78A86DB338C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0C9211E7-996D-45DA-A31A-06875112845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50131721-5A41-4939-878B-879A4F2F041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531A0D71-58EA-45E0-B60A-AD242D3F198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F3C2CBED-5C01-42B4-BF0C-681E3E396AA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F04FBBB3-299F-4283-9AEB-C5897A0AA99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9ACCC58D-222E-4A50-9FBA-8433C4DB777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725BD455-7375-4EA0-9F91-1845434678C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80C2BC54-94CE-4887-B976-DCF30D4CFCD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773B6299-9AB1-4B97-A5C1-AD0B8935A59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E35E6E94-BB2F-4D74-B2B3-6B506041822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9B8A3FEC-BF48-435B-8958-A91F7FF5F33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B020047E-26CB-4723-8A0C-8B15744DE91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87B03D7F-F91B-4076-8DA6-FF0D826E115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DAFA83A6-72B3-4B01-86BF-B81BD41195C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9A774F55-0968-49F9-B0EB-D1773C3E260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E7F0A808-3911-4820-8DD2-EAC4EF5F810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08F5466A-C6A9-46F2-9FF3-3661EC9F74A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2374C341-00B8-45A5-8D23-92E66DE3101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6C248957-1382-4D53-A63B-08330071555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7B091FD1-1A5E-4E04-A56A-C04A68A4F93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A570749E-0752-4323-93E0-02545BF15BB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29AF434E-7B75-4710-B39A-0776EC6AAC2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43E81F93-8A49-4C53-9F9C-488EE78ACEE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F1411951-5B36-4DA2-A07F-0CE324D3BA6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874877F5-31AE-4E67-843B-6F288595C47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9C9B2943-4D12-4098-84FC-FB8438F78E3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FB57C391-8B8B-4CE6-ACE5-CAA64BF3F10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730730DC-D865-4B73-9961-65FC197AD7A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E632316F-BE46-4B7C-8995-7851FAD90FA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490A90E7-20DF-4C3E-AF62-8CE235D32BA9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F9314480-2F3E-4ABB-BBB3-28F8299BC92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D8F71533-ED95-4D20-B08F-3AA88FF12F9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CEA2E196-D1DA-4E1F-865F-7EB2F92DE25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BA7047B5-BE0B-4C39-82F7-7F8B57622FB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1184C588-5A98-47CA-8BBA-17B4CC384F3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A8BD755F-AC33-40E8-A401-DEBDFBA5090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1998B595-F0A0-4BB9-823C-B623B90D9A2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ED068CF4-CA34-49ED-B08E-C53B0EEAECC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3D664FFD-442B-4D80-B4B3-8B514E7B19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3563051B-787E-40B7-9456-E583D47F456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954E8C25-ADC6-4F09-AB73-F4800E89EF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D7F67F60-ACC2-4277-A9EB-31BFDE91EEA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75BACF7D-5193-4C1C-8634-BAE30BD3641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D8866B57-007A-4018-A112-016FCA8B6FC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030D0D18-6E37-4B3C-97FE-F6669DD3ED7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4196CB54-C221-4C55-A317-7E922ECA361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A96855CA-510F-4EFE-A417-F174E0D29EF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C7DDA037-8A64-4245-B9DA-DFCB17294C3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2AC0460F-E2FD-4726-9184-C1F940C3000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E5562BAD-BF7A-4932-8492-76F195F1DF4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D80B5F3B-1F66-4138-B017-23410E6CBED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CDDC33D7-AC10-4938-BEA8-8A7C30559FD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9550D9D6-1087-42CA-B1A8-7CF85E63746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1F96D8D8-DE49-43C5-AE6E-D8BE7B9623F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B25F9E7C-8FAD-4232-BA7B-BF8642DFA2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FC1EFC6C-96B7-4638-BEDE-DEDF6C41277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01456F9C-256F-4902-888B-D7017235BB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E0CD1FF2-119E-4FC2-8E8A-AE4869B7091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364911D6-DC88-4761-893F-2A446449B3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AB06251D-4E64-47CF-9A15-A4D6220AF7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B1CB9A6B-6E15-4077-9FE5-3ADB28B914A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70C67A23-7410-4BD6-AB89-6B7B5D1D3C0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EC3CFEA1-EE8E-4530-83CD-2F65BCB425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878F1572-E767-4D2A-87D5-5D9C2E2E7D0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4FCC0EDE-3E4D-46B9-B035-4A2F7221663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7C688F04-A449-4139-A20E-2597A1BBFAA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60637DBD-0340-46BA-A9B2-531AD641F5F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54861EDD-A780-44ED-88F5-53BDEB512E7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2A670A45-7330-442A-9533-8302E8A5234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10EEB472-E0AA-40BE-9B9B-33D509B0964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86B4DB7A-979C-46E8-A945-59B9C1B4F5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DCFE0DDE-D250-44FA-B515-0142864CDB3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B1B339DB-553E-47B4-BC1F-80D52AE7FC0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C3E6C6DA-7979-4E4D-B46B-35AD7897D54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C40E7E50-D7F4-4E0F-8F43-E80A9407B73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6A5F4E99-3AE1-4EA4-B5BF-F44E4E9D0EB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5A847EBC-F81B-48C5-844B-0730A59B9B9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12388838-7D9E-491D-B9A4-8F8B841BCE3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B0BC0876-A815-4DC4-8C71-8838A123E00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4FFBFA24-A526-48A2-B018-0E2C90793F6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33E69BBC-5CDE-4372-B2C6-81C6432F2F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D41992A2-1A1C-49AA-8943-47E03E2535D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2AA0D7E8-5B42-4B1C-A5F6-92F3485912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FC191FA4-5E02-4715-B912-B1DEB9DCB9C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0BA27512-2DB9-4BEB-920D-8E951EBF893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A138B50F-51D1-4E67-86A0-5D6EC1A49C52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845E79BF-D233-4736-A7DB-CD656AB523A8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5F5B8131-66FA-47B9-AB1A-79A3B8470C4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0A6E9097-BE2B-4C59-A6A5-0C9C684C1C6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4A8E262C-92E1-4689-9E08-5FF692EC521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8EAE1F50-69AB-409C-BA1F-0306FA7F8E0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2241639-F4F8-404B-B17F-D26B072230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C7007048-52FA-46FB-93E3-FEED400A73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E4EF321D-C24B-463B-A568-037D0D0EB9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AFBB6F41-D9AC-4808-9145-D7273B00D6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BE7C1597-50DD-46E3-AFC3-2C777240FD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B53FCD8A-D9A9-4736-BF1E-A2955AA66A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B0156CE5-B1C7-40F6-82C1-A788BE6444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172226A5-58BD-4660-9F84-E3009824C4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20A4EBA5-558D-4F7C-9C4A-28FCBDA6C5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3BFDAA33-8715-49C0-89A4-89888DCBDC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7A407C4B-365B-4236-8C4C-4634BF4F40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21F79A4E-BAF2-4B85-8DE9-1E89B3348F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DEEF78F5-41FC-4EA7-AB9C-C8088D99C5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394F2B40-BE6F-42DA-9701-A9BB351D37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58E24F91-B5CB-4D3E-8D77-F3AC828741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B34CD5F5-B8BB-4274-8087-6607E8DE40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147C5174-486F-4AA2-AA54-11A628916B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9635B811-CB0D-4409-8685-8EBC480C6B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6FE81C3F-07F7-47E5-9933-813E986F46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0C0839B4-9F1D-4473-9B30-D6E5DB6D52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4907BFFA-957F-4335-81CB-178E2D830B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551C1F4E-3F45-4E7C-A35E-B97425294E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C64E5CBB-1929-40D9-9094-6D8FF32CA8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55658DD9-FBBA-4A76-A99F-F516B9DC6E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5DF476DA-1FCD-4577-B3AA-42179CFD02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C9D7DC54-BB25-4E83-B479-598811CD12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65EC065F-C8C1-4C40-B2F6-D03F2AD82F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C124B5C8-CBCB-4515-B4CF-BB7056CFE0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A61B5047-14D9-4BD1-9054-30EA50A0DC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B3E42129-D8AE-44FF-AB13-167D4CA9DA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64B4A729-7979-4B6B-8122-D86FE448A0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5B572D50-6B2A-4637-9DA1-57B8AF8578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C9FAF208-3674-4AC6-9D8A-EA6C5DA5A2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3D6CDC1C-1E26-469C-8FC9-2386908717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0E131697-99B6-4701-8509-DEFFC2EFEC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5D729368-7FB0-483B-8CDF-6A909CD0C1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A762CFB5-EAA1-4EBA-9AF7-4A0EB89BAA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E034F85E-240D-49D6-BF2D-8A795370BB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55A34987-4D87-4B91-BBBB-A1BF10B82C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AF5C54BB-9ECF-4797-9367-1A9B9359EC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FF4E27C0-00DE-4076-883A-460827C6B6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BDFD20E1-A83F-4E36-A50C-9AB414F5F9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CA89041B-5DE9-4C85-BC5C-34696207112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8DFCE9D2-6821-4645-8261-AA47DA30833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35496F8B-2594-420C-AAC7-A97AD2E1B82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E3E2158E-6651-4299-A9AB-8F40906E69C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A93744E5-D69A-4AE8-B00D-355A186D39B0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8CFC7D23-EF3C-49EC-AA61-6B899DD3F371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CD94F325-3808-485F-BD6F-6455EE37D39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80BA4931-7425-43C1-97B3-133AD17D6AB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8251A6B7-46D8-4579-89A4-5635587B8BD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FB01EF20-2F61-4649-A527-A75CF829658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02814317-CE3B-4B01-AD54-C64FD58416E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F9A21A21-279B-457A-B4A6-B1BE4AEDDD5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1EC07D15-C5A1-41A0-96E0-FD6F2B6B18D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307AF305-E478-414E-9E0A-47E03619F6A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31EB5A33-75F8-4FD6-8F7F-7C51188A24C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C6CACBAA-67BC-4B8C-B0DF-F31C67DAF3F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18815A5F-B1E3-4475-9651-3B074C01C9C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B6034D90-E5E5-4114-8AAE-E943DCD7535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24774E4A-A093-4459-A595-AA66BA7A3FF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4C6C9588-81F3-446F-8A31-0AE7B9DAF72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D40EACEC-7152-4E8A-BED6-4C829542402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19967FFE-150F-43FE-AFA3-CADD08F0573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F43C134C-7D56-4D8F-9C28-D7FDB18B052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14F30607-F567-423C-8E61-C1AD3746A9C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8FB65767-D0A6-4811-9C66-A22833531BC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952078A6-FD58-4765-9E0E-76B21442684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A029BA5F-5940-48A2-A36D-94311F0FC194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1CD13C33-039D-402F-96BF-68656B8515CC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B024EA9B-7FE0-4945-AA8A-946610691CA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0D24E2B1-E3C6-4F26-981A-DD827696815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1EA1D5CC-5FBF-4BF9-89F2-70B7A3CC681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DC9B3921-51A9-4F3E-95AB-75282223706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71DD8A34-6D85-4A1E-BC20-60691356540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93574381-EAFE-467C-967C-8E021A33B505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51AE613F-63F4-4313-91D2-D321481962BB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259598B2-2642-4175-BEFC-E90616BB8A4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66BF9C55-7C75-4D49-AC2D-C9E707B90777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608479DB-93B2-4F27-BEAF-CD36A151230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D722501C-A63F-4D9B-AF75-A1F51EFFDD5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CB27AEEE-F738-4A14-8D62-E41DA3860C6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7C5263B4-D7C1-4644-BF07-247A09AB5A3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8F7601B9-184A-489E-A1E1-3D6F6CE2348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7784DB69-DEA2-4F37-AB9B-57EED80392B2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6C5A5861-9526-42C4-8F96-2BBA1F25CCF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00B83350-ADDD-4ADF-A4D8-DF1C07298A2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81F85E18-19B7-410E-8D9E-225230DAE92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3CCBDE43-1714-435B-84CE-75CD9AB2F85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C5D204E5-1D8B-46D3-9141-57B4C49EDC0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465915CA-FE28-4E4E-80DF-61BA06F203E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907AA746-746E-4453-B621-F3596D9F85E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CE535FF0-B5D9-469F-B953-CF0E8CABCA00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1190AF36-203A-420F-B9DF-0B5BD03322C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92C49335-2225-4AE3-8B6B-6C061734252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26588B95-2137-4828-B3C5-65B6D126F73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1152230F-E551-4C74-AA5C-98F762990F0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58FE007C-65AF-4128-9216-25787DF357C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BBD510EC-CA7C-4A91-A7F0-E65B65F5815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A43F4B32-287B-4209-9833-6AF146EC896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724A29F0-6690-472F-B318-5D2371CF949A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E70EDCFD-6AB7-49D6-AB49-1980234BEDE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7E00B717-AA74-4A21-A0A9-C7DD2607D716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52AF33B1-A72B-4A12-AC59-E3ED90EB98A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<sst xmlns="http://schemas.openxmlformats.org/spreadsheetml/2006/main" count="1102" uniqueCount="271">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</sst>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1612872</v>
      </c>
    </row>
    <row r="8" spans="1:3" ht="15" customHeight="1" x14ac:dyDescent="0.25">
      <c r="B8" s="7" t="s">
        <v>106</v>
      </c>
      <c r="C8" s="70">
        <v>0.215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0.89274291992187504</v>
      </c>
    </row>
    <row r="11" spans="1:3" ht="15" customHeight="1" x14ac:dyDescent="0.25">
      <c r="B11" s="7" t="s">
        <v>108</v>
      </c>
      <c r="C11" s="70">
        <v>0.79500000000000004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0.193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0.151</v>
      </c>
    </row>
    <row r="24" spans="1:3" ht="15" customHeight="1" x14ac:dyDescent="0.25">
      <c r="B24" s="20" t="s">
        <v>102</v>
      </c>
      <c r="C24" s="71">
        <v>0.51359999999999995</v>
      </c>
    </row>
    <row r="25" spans="1:3" ht="15" customHeight="1" x14ac:dyDescent="0.25">
      <c r="B25" s="20" t="s">
        <v>103</v>
      </c>
      <c r="C25" s="71">
        <v>0.27929999999999999</v>
      </c>
    </row>
    <row r="26" spans="1:3" ht="15" customHeight="1" x14ac:dyDescent="0.25">
      <c r="B26" s="20" t="s">
        <v>104</v>
      </c>
      <c r="C26" s="71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7.5</v>
      </c>
    </row>
    <row r="38" spans="1:5" ht="15" customHeight="1" x14ac:dyDescent="0.25">
      <c r="B38" s="16" t="s">
        <v>91</v>
      </c>
      <c r="C38" s="75">
        <v>12.5</v>
      </c>
      <c r="D38" s="17"/>
      <c r="E38" s="18"/>
    </row>
    <row r="39" spans="1:5" ht="15" customHeight="1" x14ac:dyDescent="0.25">
      <c r="B39" s="16" t="s">
        <v>90</v>
      </c>
      <c r="C39" s="75">
        <v>14.5</v>
      </c>
      <c r="D39" s="17"/>
      <c r="E39" s="17"/>
    </row>
    <row r="40" spans="1:5" ht="15" customHeight="1" x14ac:dyDescent="0.25">
      <c r="B40" s="16" t="s">
        <v>171</v>
      </c>
      <c r="C40" s="75">
        <v>0.64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1.06E-2</v>
      </c>
      <c r="D45" s="17"/>
    </row>
    <row r="46" spans="1:5" ht="15.75" customHeight="1" x14ac:dyDescent="0.25">
      <c r="B46" s="16" t="s">
        <v>11</v>
      </c>
      <c r="C46" s="71">
        <v>4.0099999999999997E-2</v>
      </c>
      <c r="D46" s="17"/>
    </row>
    <row r="47" spans="1:5" ht="15.75" customHeight="1" x14ac:dyDescent="0.25">
      <c r="B47" s="16" t="s">
        <v>12</v>
      </c>
      <c r="C47" s="71">
        <v>8.6400000000000005E-2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2.0169788124899974</v>
      </c>
      <c r="D51" s="17"/>
    </row>
    <row r="52" spans="1:4" ht="15" customHeight="1" x14ac:dyDescent="0.25">
      <c r="B52" s="16" t="s">
        <v>125</v>
      </c>
      <c r="C52" s="76">
        <v>1.7811860218300002</v>
      </c>
    </row>
    <row r="53" spans="1:4" ht="15.75" customHeight="1" x14ac:dyDescent="0.25">
      <c r="B53" s="16" t="s">
        <v>126</v>
      </c>
      <c r="C53" s="76">
        <v>1.7811860218300002</v>
      </c>
    </row>
    <row r="54" spans="1:4" ht="15.75" customHeight="1" x14ac:dyDescent="0.25">
      <c r="B54" s="16" t="s">
        <v>127</v>
      </c>
      <c r="C54" s="76">
        <v>1.5389080966299999</v>
      </c>
    </row>
    <row r="55" spans="1:4" ht="15.75" customHeight="1" x14ac:dyDescent="0.25">
      <c r="B55" s="16" t="s">
        <v>128</v>
      </c>
      <c r="C55" s="76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0.51600220420642406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69.98595024529601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40.148121577173832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601.85268684878201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1.7802885192076112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1.7475872916557247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1.7475872916557247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1.7475872916557247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1.7475872916557247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13.280421020969742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13.280421020969742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0.98718682086509035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13.818442191631251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13.818442191631251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13.818442191631251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30.960439902477543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23.058410127642674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4.4469886479598264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18.844293755198365</v>
      </c>
      <c r="E24" s="86" t="s">
        <v>202</v>
      </c>
    </row>
    <row r="25" spans="1:5" ht="15.75" customHeight="1" x14ac:dyDescent="0.25">
      <c r="A25" s="52" t="s">
        <v>87</v>
      </c>
      <c r="B25" s="85">
        <v>6.9999999999999993E-3</v>
      </c>
      <c r="C25" s="85">
        <v>0.95</v>
      </c>
      <c r="D25" s="86">
        <v>18.779674265644452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5.8225267519645829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9.1311202998451524</v>
      </c>
      <c r="E27" s="86" t="s">
        <v>202</v>
      </c>
    </row>
    <row r="28" spans="1:5" ht="15.75" customHeight="1" x14ac:dyDescent="0.25">
      <c r="A28" s="52" t="s">
        <v>84</v>
      </c>
      <c r="B28" s="85">
        <v>0.27300000000000002</v>
      </c>
      <c r="C28" s="85">
        <v>0.95</v>
      </c>
      <c r="D28" s="86">
        <v>1.6624495748917045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140.93703453269754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0.69989222611764845</v>
      </c>
      <c r="E30" s="86" t="s">
        <v>202</v>
      </c>
    </row>
    <row r="31" spans="1:5" ht="15.75" customHeight="1" x14ac:dyDescent="0.25">
      <c r="A31" s="52" t="s">
        <v>28</v>
      </c>
      <c r="B31" s="85">
        <v>0.23749999999999999</v>
      </c>
      <c r="C31" s="85">
        <v>0.95</v>
      </c>
      <c r="D31" s="86">
        <v>2.1472282909576075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0.84699999999999998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0.86900000000000011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0.85299999999999998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3.4506874250287214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2.1683504970720469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9.5221726600000001E-2</v>
      </c>
      <c r="C3" s="26">
        <f>frac_mam_1_5months * 2.6</f>
        <v>9.5221726600000001E-2</v>
      </c>
      <c r="D3" s="26">
        <f>frac_mam_6_11months * 2.6</f>
        <v>4.0016389399999998E-2</v>
      </c>
      <c r="E3" s="26">
        <f>frac_mam_12_23months * 2.6</f>
        <v>3.1733367640000003E-2</v>
      </c>
      <c r="F3" s="26">
        <f>frac_mam_24_59months * 2.6</f>
        <v>1.5137015053333333E-2</v>
      </c>
    </row>
    <row r="4" spans="1:6" ht="15.75" customHeight="1" x14ac:dyDescent="0.25">
      <c r="A4" s="3" t="s">
        <v>66</v>
      </c>
      <c r="B4" s="26">
        <f>frac_sam_1month * 2.6</f>
        <v>5.17482238E-2</v>
      </c>
      <c r="C4" s="26">
        <f>frac_sam_1_5months * 2.6</f>
        <v>5.17482238E-2</v>
      </c>
      <c r="D4" s="26">
        <f>frac_sam_6_11months * 2.6</f>
        <v>3.4258130400000003E-2</v>
      </c>
      <c r="E4" s="26">
        <f>frac_sam_12_23months * 2.6</f>
        <v>1.639033656E-2</v>
      </c>
      <c r="F4" s="26">
        <f>frac_sam_24_59months * 2.6</f>
        <v>7.6839502133333338E-3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330369.17817600002</v>
      </c>
      <c r="C2" s="78">
        <v>736448</v>
      </c>
      <c r="D2" s="78">
        <v>1411645</v>
      </c>
      <c r="E2" s="78">
        <v>1205084</v>
      </c>
      <c r="F2" s="78">
        <v>984681</v>
      </c>
      <c r="G2" s="22">
        <f t="shared" ref="G2:G40" si="0">C2+D2+E2+F2</f>
        <v>4337858</v>
      </c>
      <c r="H2" s="22">
        <f t="shared" ref="H2:H40" si="1">(B2 + stillbirth*B2/(1000-stillbirth))/(1-abortion)</f>
        <v>382681.33382910478</v>
      </c>
      <c r="I2" s="22">
        <f>G2-H2</f>
        <v>3955176.6661708951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330020.152</v>
      </c>
      <c r="C3" s="78">
        <v>735000</v>
      </c>
      <c r="D3" s="78">
        <v>1422000</v>
      </c>
      <c r="E3" s="78">
        <v>1227000</v>
      </c>
      <c r="F3" s="78">
        <v>1004000</v>
      </c>
      <c r="G3" s="22">
        <f t="shared" si="0"/>
        <v>4388000</v>
      </c>
      <c r="H3" s="22">
        <f t="shared" si="1"/>
        <v>382277.04126370756</v>
      </c>
      <c r="I3" s="22">
        <f t="shared" ref="I3:I15" si="3">G3-H3</f>
        <v>4005722.9587362926</v>
      </c>
    </row>
    <row r="4" spans="1:9" ht="15.75" customHeight="1" x14ac:dyDescent="0.25">
      <c r="A4" s="7">
        <f t="shared" si="2"/>
        <v>2019</v>
      </c>
      <c r="B4" s="77">
        <v>329505.60000000003</v>
      </c>
      <c r="C4" s="78">
        <v>735000</v>
      </c>
      <c r="D4" s="78">
        <v>1431000</v>
      </c>
      <c r="E4" s="78">
        <v>1249000</v>
      </c>
      <c r="F4" s="78">
        <v>1022000</v>
      </c>
      <c r="G4" s="22">
        <f t="shared" si="0"/>
        <v>4437000</v>
      </c>
      <c r="H4" s="22">
        <f t="shared" si="1"/>
        <v>381681.01276379853</v>
      </c>
      <c r="I4" s="22">
        <f t="shared" si="3"/>
        <v>4055318.9872362013</v>
      </c>
    </row>
    <row r="5" spans="1:9" ht="15.75" customHeight="1" x14ac:dyDescent="0.25">
      <c r="A5" s="7">
        <f t="shared" si="2"/>
        <v>2020</v>
      </c>
      <c r="B5" s="77">
        <v>328829.24800000002</v>
      </c>
      <c r="C5" s="78">
        <v>736000</v>
      </c>
      <c r="D5" s="78">
        <v>1438000</v>
      </c>
      <c r="E5" s="78">
        <v>1270000</v>
      </c>
      <c r="F5" s="78">
        <v>1040000</v>
      </c>
      <c r="G5" s="22">
        <f t="shared" si="0"/>
        <v>4484000</v>
      </c>
      <c r="H5" s="22">
        <f t="shared" si="1"/>
        <v>380897.56411726616</v>
      </c>
      <c r="I5" s="22">
        <f t="shared" si="3"/>
        <v>4103102.4358827337</v>
      </c>
    </row>
    <row r="6" spans="1:9" ht="15.75" customHeight="1" x14ac:dyDescent="0.25">
      <c r="A6" s="7">
        <f t="shared" si="2"/>
        <v>2021</v>
      </c>
      <c r="B6" s="77">
        <v>328266.22360000003</v>
      </c>
      <c r="C6" s="78">
        <v>740000</v>
      </c>
      <c r="D6" s="78">
        <v>1445000</v>
      </c>
      <c r="E6" s="78">
        <v>1291000</v>
      </c>
      <c r="F6" s="78">
        <v>1059000</v>
      </c>
      <c r="G6" s="22">
        <f t="shared" si="0"/>
        <v>4535000</v>
      </c>
      <c r="H6" s="22">
        <f t="shared" si="1"/>
        <v>380245.38787746109</v>
      </c>
      <c r="I6" s="22">
        <f t="shared" si="3"/>
        <v>4154754.612122539</v>
      </c>
    </row>
    <row r="7" spans="1:9" ht="15.75" customHeight="1" x14ac:dyDescent="0.25">
      <c r="A7" s="7">
        <f t="shared" si="2"/>
        <v>2022</v>
      </c>
      <c r="B7" s="77">
        <v>327534.24</v>
      </c>
      <c r="C7" s="78">
        <v>745000</v>
      </c>
      <c r="D7" s="78">
        <v>1450000</v>
      </c>
      <c r="E7" s="78">
        <v>1312000</v>
      </c>
      <c r="F7" s="78">
        <v>1078000</v>
      </c>
      <c r="G7" s="22">
        <f t="shared" si="0"/>
        <v>4585000</v>
      </c>
      <c r="H7" s="22">
        <f t="shared" si="1"/>
        <v>379397.49867079966</v>
      </c>
      <c r="I7" s="22">
        <f t="shared" si="3"/>
        <v>4205602.5013292003</v>
      </c>
    </row>
    <row r="8" spans="1:9" ht="15.75" customHeight="1" x14ac:dyDescent="0.25">
      <c r="A8" s="7">
        <f t="shared" si="2"/>
        <v>2023</v>
      </c>
      <c r="B8" s="77">
        <v>326616.88160000002</v>
      </c>
      <c r="C8" s="78">
        <v>752000</v>
      </c>
      <c r="D8" s="78">
        <v>1454000</v>
      </c>
      <c r="E8" s="78">
        <v>1330000</v>
      </c>
      <c r="F8" s="78">
        <v>1097000</v>
      </c>
      <c r="G8" s="22">
        <f t="shared" si="0"/>
        <v>4633000</v>
      </c>
      <c r="H8" s="22">
        <f t="shared" si="1"/>
        <v>378334.88157664594</v>
      </c>
      <c r="I8" s="22">
        <f t="shared" si="3"/>
        <v>4254665.1184233539</v>
      </c>
    </row>
    <row r="9" spans="1:9" ht="15.75" customHeight="1" x14ac:dyDescent="0.25">
      <c r="A9" s="7">
        <f t="shared" si="2"/>
        <v>2024</v>
      </c>
      <c r="B9" s="77">
        <v>325552.36800000002</v>
      </c>
      <c r="C9" s="78">
        <v>758000</v>
      </c>
      <c r="D9" s="78">
        <v>1457000</v>
      </c>
      <c r="E9" s="78">
        <v>1347000</v>
      </c>
      <c r="F9" s="78">
        <v>1116000</v>
      </c>
      <c r="G9" s="22">
        <f t="shared" si="0"/>
        <v>4678000</v>
      </c>
      <c r="H9" s="22">
        <f t="shared" si="1"/>
        <v>377101.80805999297</v>
      </c>
      <c r="I9" s="22">
        <f t="shared" si="3"/>
        <v>4300898.1919400068</v>
      </c>
    </row>
    <row r="10" spans="1:9" ht="15.75" customHeight="1" x14ac:dyDescent="0.25">
      <c r="A10" s="7">
        <f t="shared" si="2"/>
        <v>2025</v>
      </c>
      <c r="B10" s="77">
        <v>324288.90000000002</v>
      </c>
      <c r="C10" s="78">
        <v>764000</v>
      </c>
      <c r="D10" s="78">
        <v>1461000</v>
      </c>
      <c r="E10" s="78">
        <v>1363000</v>
      </c>
      <c r="F10" s="78">
        <v>1137000</v>
      </c>
      <c r="G10" s="22">
        <f t="shared" si="0"/>
        <v>4725000</v>
      </c>
      <c r="H10" s="22">
        <f t="shared" si="1"/>
        <v>375638.27680032805</v>
      </c>
      <c r="I10" s="22">
        <f t="shared" si="3"/>
        <v>4349361.7231996721</v>
      </c>
    </row>
    <row r="11" spans="1:9" ht="15.75" customHeight="1" x14ac:dyDescent="0.25">
      <c r="A11" s="7">
        <f t="shared" si="2"/>
        <v>2026</v>
      </c>
      <c r="B11" s="77">
        <v>323500.17960000003</v>
      </c>
      <c r="C11" s="78">
        <v>769000</v>
      </c>
      <c r="D11" s="78">
        <v>1466000</v>
      </c>
      <c r="E11" s="78">
        <v>1377000</v>
      </c>
      <c r="F11" s="78">
        <v>1159000</v>
      </c>
      <c r="G11" s="22">
        <f t="shared" si="0"/>
        <v>4771000</v>
      </c>
      <c r="H11" s="22">
        <f t="shared" si="1"/>
        <v>374724.66683115164</v>
      </c>
      <c r="I11" s="22">
        <f t="shared" si="3"/>
        <v>4396275.3331688484</v>
      </c>
    </row>
    <row r="12" spans="1:9" ht="15.75" customHeight="1" x14ac:dyDescent="0.25">
      <c r="A12" s="7">
        <f t="shared" si="2"/>
        <v>2027</v>
      </c>
      <c r="B12" s="77">
        <v>322567.0344</v>
      </c>
      <c r="C12" s="78">
        <v>773000</v>
      </c>
      <c r="D12" s="78">
        <v>1471000</v>
      </c>
      <c r="E12" s="78">
        <v>1390000</v>
      </c>
      <c r="F12" s="78">
        <v>1181000</v>
      </c>
      <c r="G12" s="22">
        <f t="shared" si="0"/>
        <v>4815000</v>
      </c>
      <c r="H12" s="22">
        <f t="shared" si="1"/>
        <v>373643.76318340882</v>
      </c>
      <c r="I12" s="22">
        <f t="shared" si="3"/>
        <v>4441356.2368165916</v>
      </c>
    </row>
    <row r="13" spans="1:9" ht="15.75" customHeight="1" x14ac:dyDescent="0.25">
      <c r="A13" s="7">
        <f t="shared" si="2"/>
        <v>2028</v>
      </c>
      <c r="B13" s="77">
        <v>321457.35959999997</v>
      </c>
      <c r="C13" s="78">
        <v>776000</v>
      </c>
      <c r="D13" s="78">
        <v>1477000</v>
      </c>
      <c r="E13" s="78">
        <v>1401000</v>
      </c>
      <c r="F13" s="78">
        <v>1204000</v>
      </c>
      <c r="G13" s="22">
        <f t="shared" si="0"/>
        <v>4858000</v>
      </c>
      <c r="H13" s="22">
        <f t="shared" si="1"/>
        <v>372358.37743730168</v>
      </c>
      <c r="I13" s="22">
        <f t="shared" si="3"/>
        <v>4485641.6225626981</v>
      </c>
    </row>
    <row r="14" spans="1:9" ht="15.75" customHeight="1" x14ac:dyDescent="0.25">
      <c r="A14" s="7">
        <f t="shared" si="2"/>
        <v>2029</v>
      </c>
      <c r="B14" s="77">
        <v>320190.70199999993</v>
      </c>
      <c r="C14" s="78">
        <v>779000</v>
      </c>
      <c r="D14" s="78">
        <v>1482000</v>
      </c>
      <c r="E14" s="78">
        <v>1411000</v>
      </c>
      <c r="F14" s="78">
        <v>1226000</v>
      </c>
      <c r="G14" s="22">
        <f t="shared" si="0"/>
        <v>4898000</v>
      </c>
      <c r="H14" s="22">
        <f t="shared" si="1"/>
        <v>370891.15152189089</v>
      </c>
      <c r="I14" s="22">
        <f t="shared" si="3"/>
        <v>4527108.8484781086</v>
      </c>
    </row>
    <row r="15" spans="1:9" ht="15.75" customHeight="1" x14ac:dyDescent="0.25">
      <c r="A15" s="7">
        <f t="shared" si="2"/>
        <v>2030</v>
      </c>
      <c r="B15" s="77">
        <v>318785.61</v>
      </c>
      <c r="C15" s="78">
        <v>781000</v>
      </c>
      <c r="D15" s="78">
        <v>1490000</v>
      </c>
      <c r="E15" s="78">
        <v>1419000</v>
      </c>
      <c r="F15" s="78">
        <v>1248000</v>
      </c>
      <c r="G15" s="22">
        <f t="shared" si="0"/>
        <v>4938000</v>
      </c>
      <c r="H15" s="22">
        <f t="shared" si="1"/>
        <v>369263.57087504817</v>
      </c>
      <c r="I15" s="22">
        <f t="shared" si="3"/>
        <v>4568736.4291249514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127.4178994348437</v>
      </c>
      <c r="I17" s="22">
        <f t="shared" si="4"/>
        <v>-127.4178994348437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6.9116265000000012E-3</v>
      </c>
    </row>
    <row r="4" spans="1:8" ht="15.75" customHeight="1" x14ac:dyDescent="0.25">
      <c r="B4" s="24" t="s">
        <v>7</v>
      </c>
      <c r="C4" s="79">
        <v>0.12410106227309065</v>
      </c>
    </row>
    <row r="5" spans="1:8" ht="15.75" customHeight="1" x14ac:dyDescent="0.25">
      <c r="B5" s="24" t="s">
        <v>8</v>
      </c>
      <c r="C5" s="79">
        <v>6.7132758607990728E-2</v>
      </c>
    </row>
    <row r="6" spans="1:8" ht="15.75" customHeight="1" x14ac:dyDescent="0.25">
      <c r="B6" s="24" t="s">
        <v>10</v>
      </c>
      <c r="C6" s="79">
        <v>8.6067594738252845E-2</v>
      </c>
    </row>
    <row r="7" spans="1:8" ht="15.75" customHeight="1" x14ac:dyDescent="0.25">
      <c r="B7" s="24" t="s">
        <v>13</v>
      </c>
      <c r="C7" s="79">
        <v>0.32584968885268223</v>
      </c>
    </row>
    <row r="8" spans="1:8" ht="15.75" customHeight="1" x14ac:dyDescent="0.25">
      <c r="B8" s="24" t="s">
        <v>14</v>
      </c>
      <c r="C8" s="79">
        <v>1.744195776745107E-4</v>
      </c>
    </row>
    <row r="9" spans="1:8" ht="15.75" customHeight="1" x14ac:dyDescent="0.25">
      <c r="B9" s="24" t="s">
        <v>27</v>
      </c>
      <c r="C9" s="79">
        <v>0.20272948503611377</v>
      </c>
    </row>
    <row r="10" spans="1:8" ht="15.75" customHeight="1" x14ac:dyDescent="0.25">
      <c r="B10" s="24" t="s">
        <v>15</v>
      </c>
      <c r="C10" s="79">
        <v>0.18703336441419538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4.37210503804513E-2</v>
      </c>
      <c r="D14" s="79">
        <v>4.37210503804513E-2</v>
      </c>
      <c r="E14" s="79">
        <v>5.6640184589185398E-2</v>
      </c>
      <c r="F14" s="79">
        <v>5.6640184589185398E-2</v>
      </c>
    </row>
    <row r="15" spans="1:8" ht="15.75" customHeight="1" x14ac:dyDescent="0.25">
      <c r="B15" s="24" t="s">
        <v>16</v>
      </c>
      <c r="C15" s="79">
        <v>0.25702959640290501</v>
      </c>
      <c r="D15" s="79">
        <v>0.25702959640290501</v>
      </c>
      <c r="E15" s="79">
        <v>0.21994438094565499</v>
      </c>
      <c r="F15" s="79">
        <v>0.21994438094565499</v>
      </c>
    </row>
    <row r="16" spans="1:8" ht="15.75" customHeight="1" x14ac:dyDescent="0.25">
      <c r="B16" s="24" t="s">
        <v>17</v>
      </c>
      <c r="C16" s="79">
        <v>1.45934556165386E-2</v>
      </c>
      <c r="D16" s="79">
        <v>1.45934556165386E-2</v>
      </c>
      <c r="E16" s="79">
        <v>1.3312336700013997E-2</v>
      </c>
      <c r="F16" s="79">
        <v>1.3312336700013997E-2</v>
      </c>
    </row>
    <row r="17" spans="1:8" ht="15.75" customHeight="1" x14ac:dyDescent="0.25">
      <c r="B17" s="24" t="s">
        <v>18</v>
      </c>
      <c r="C17" s="79">
        <v>6.5089181961373296E-5</v>
      </c>
      <c r="D17" s="79">
        <v>6.5089181961373296E-5</v>
      </c>
      <c r="E17" s="79">
        <v>1.7132947853979203E-4</v>
      </c>
      <c r="F17" s="79">
        <v>1.7132947853979203E-4</v>
      </c>
    </row>
    <row r="18" spans="1:8" ht="15.75" customHeight="1" x14ac:dyDescent="0.25">
      <c r="B18" s="24" t="s">
        <v>19</v>
      </c>
      <c r="C18" s="79">
        <v>9.1404291289928994E-5</v>
      </c>
      <c r="D18" s="79">
        <v>9.1404291289928994E-5</v>
      </c>
      <c r="E18" s="79">
        <v>1.51037405363009E-4</v>
      </c>
      <c r="F18" s="79">
        <v>1.51037405363009E-4</v>
      </c>
    </row>
    <row r="19" spans="1:8" ht="15.75" customHeight="1" x14ac:dyDescent="0.25">
      <c r="B19" s="24" t="s">
        <v>20</v>
      </c>
      <c r="C19" s="79">
        <v>2.3768330105975598E-3</v>
      </c>
      <c r="D19" s="79">
        <v>2.3768330105975598E-3</v>
      </c>
      <c r="E19" s="79">
        <v>2.04139426951446E-3</v>
      </c>
      <c r="F19" s="79">
        <v>2.04139426951446E-3</v>
      </c>
    </row>
    <row r="20" spans="1:8" ht="15.75" customHeight="1" x14ac:dyDescent="0.25">
      <c r="B20" s="24" t="s">
        <v>21</v>
      </c>
      <c r="C20" s="79">
        <v>1.0358850754919401E-2</v>
      </c>
      <c r="D20" s="79">
        <v>1.0358850754919401E-2</v>
      </c>
      <c r="E20" s="79">
        <v>1.0125320136835198E-2</v>
      </c>
      <c r="F20" s="79">
        <v>1.0125320136835198E-2</v>
      </c>
    </row>
    <row r="21" spans="1:8" ht="15.75" customHeight="1" x14ac:dyDescent="0.25">
      <c r="B21" s="24" t="s">
        <v>22</v>
      </c>
      <c r="C21" s="79">
        <v>8.2708746901430097E-2</v>
      </c>
      <c r="D21" s="79">
        <v>8.2708746901430097E-2</v>
      </c>
      <c r="E21" s="79">
        <v>0.27199250334247199</v>
      </c>
      <c r="F21" s="79">
        <v>0.27199250334247199</v>
      </c>
    </row>
    <row r="22" spans="1:8" ht="15.75" customHeight="1" x14ac:dyDescent="0.25">
      <c r="B22" s="24" t="s">
        <v>23</v>
      </c>
      <c r="C22" s="79">
        <v>0.58905497345990676</v>
      </c>
      <c r="D22" s="79">
        <v>0.58905497345990676</v>
      </c>
      <c r="E22" s="79">
        <v>0.42562151313242125</v>
      </c>
      <c r="F22" s="79">
        <v>0.42562151313242125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6.7900000000000002E-2</v>
      </c>
    </row>
    <row r="27" spans="1:8" ht="15.75" customHeight="1" x14ac:dyDescent="0.25">
      <c r="B27" s="24" t="s">
        <v>39</v>
      </c>
      <c r="C27" s="79">
        <v>3.9199999999999999E-2</v>
      </c>
    </row>
    <row r="28" spans="1:8" ht="15.75" customHeight="1" x14ac:dyDescent="0.25">
      <c r="B28" s="24" t="s">
        <v>40</v>
      </c>
      <c r="C28" s="79">
        <v>0.1409</v>
      </c>
    </row>
    <row r="29" spans="1:8" ht="15.75" customHeight="1" x14ac:dyDescent="0.25">
      <c r="B29" s="24" t="s">
        <v>41</v>
      </c>
      <c r="C29" s="79">
        <v>0.29520000000000002</v>
      </c>
    </row>
    <row r="30" spans="1:8" ht="15.75" customHeight="1" x14ac:dyDescent="0.25">
      <c r="B30" s="24" t="s">
        <v>42</v>
      </c>
      <c r="C30" s="79">
        <v>4.8000000000000001E-2</v>
      </c>
    </row>
    <row r="31" spans="1:8" ht="15.75" customHeight="1" x14ac:dyDescent="0.25">
      <c r="B31" s="24" t="s">
        <v>43</v>
      </c>
      <c r="C31" s="79">
        <v>8.0500000000000002E-2</v>
      </c>
    </row>
    <row r="32" spans="1:8" ht="15.75" customHeight="1" x14ac:dyDescent="0.25">
      <c r="B32" s="24" t="s">
        <v>44</v>
      </c>
      <c r="C32" s="79">
        <v>1.15E-2</v>
      </c>
    </row>
    <row r="33" spans="2:3" ht="15.75" customHeight="1" x14ac:dyDescent="0.25">
      <c r="B33" s="24" t="s">
        <v>45</v>
      </c>
      <c r="C33" s="79">
        <v>0.18239999999999998</v>
      </c>
    </row>
    <row r="34" spans="2:3" ht="15.75" customHeight="1" x14ac:dyDescent="0.25">
      <c r="B34" s="24" t="s">
        <v>46</v>
      </c>
      <c r="C34" s="79">
        <v>0.13439999999999999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0.71890244840840967</v>
      </c>
      <c r="D2" s="80">
        <v>0.71890244840840967</v>
      </c>
      <c r="E2" s="80">
        <v>0.66297796194306946</v>
      </c>
      <c r="F2" s="80">
        <v>0.39730393665313768</v>
      </c>
      <c r="G2" s="80">
        <v>0.33649388925873075</v>
      </c>
    </row>
    <row r="3" spans="1:15" ht="15.75" customHeight="1" x14ac:dyDescent="0.25">
      <c r="A3" s="5"/>
      <c r="B3" s="11" t="s">
        <v>118</v>
      </c>
      <c r="C3" s="80">
        <v>0.21608036554725704</v>
      </c>
      <c r="D3" s="80">
        <v>0.21608036554725704</v>
      </c>
      <c r="E3" s="80">
        <v>0.22342879347372732</v>
      </c>
      <c r="F3" s="80">
        <v>0.32244957177645961</v>
      </c>
      <c r="G3" s="80">
        <v>0.37728102735069802</v>
      </c>
    </row>
    <row r="4" spans="1:15" ht="15.75" customHeight="1" x14ac:dyDescent="0.25">
      <c r="A4" s="5"/>
      <c r="B4" s="11" t="s">
        <v>116</v>
      </c>
      <c r="C4" s="81">
        <v>5.2312678426475169E-2</v>
      </c>
      <c r="D4" s="81">
        <v>5.2312678426475169E-2</v>
      </c>
      <c r="E4" s="81">
        <v>7.0995777864502008E-2</v>
      </c>
      <c r="F4" s="81">
        <v>0.2032721218857321</v>
      </c>
      <c r="G4" s="81">
        <v>0.2032721218857321</v>
      </c>
    </row>
    <row r="5" spans="1:15" ht="15.75" customHeight="1" x14ac:dyDescent="0.25">
      <c r="A5" s="5"/>
      <c r="B5" s="11" t="s">
        <v>119</v>
      </c>
      <c r="C5" s="81">
        <v>1.2704507617858256E-2</v>
      </c>
      <c r="D5" s="81">
        <v>1.2704507617858256E-2</v>
      </c>
      <c r="E5" s="81">
        <v>4.2597466718701203E-2</v>
      </c>
      <c r="F5" s="81">
        <v>7.6974369684670599E-2</v>
      </c>
      <c r="G5" s="81">
        <v>8.295296150483919E-2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0.7880894752378903</v>
      </c>
      <c r="D8" s="80">
        <v>0.7880894752378903</v>
      </c>
      <c r="E8" s="80">
        <v>0.86802228041612906</v>
      </c>
      <c r="F8" s="80">
        <v>0.89051850455509796</v>
      </c>
      <c r="G8" s="80">
        <v>0.94121146925563404</v>
      </c>
    </row>
    <row r="9" spans="1:15" ht="15.75" customHeight="1" x14ac:dyDescent="0.25">
      <c r="B9" s="7" t="s">
        <v>121</v>
      </c>
      <c r="C9" s="80">
        <v>0.15538362076210982</v>
      </c>
      <c r="D9" s="80">
        <v>0.15538362076210982</v>
      </c>
      <c r="E9" s="80">
        <v>0.10341059658387097</v>
      </c>
      <c r="F9" s="80">
        <v>9.0972378444902191E-2</v>
      </c>
      <c r="G9" s="80">
        <v>5.0011236411032632E-2</v>
      </c>
    </row>
    <row r="10" spans="1:15" ht="15.75" customHeight="1" x14ac:dyDescent="0.25">
      <c r="B10" s="7" t="s">
        <v>122</v>
      </c>
      <c r="C10" s="81">
        <v>3.6623741000000001E-2</v>
      </c>
      <c r="D10" s="81">
        <v>3.6623741000000001E-2</v>
      </c>
      <c r="E10" s="81">
        <v>1.5390918999999998E-2</v>
      </c>
      <c r="F10" s="81">
        <v>1.2205141399999999E-2</v>
      </c>
      <c r="G10" s="81">
        <v>5.821928866666666E-3</v>
      </c>
    </row>
    <row r="11" spans="1:15" ht="15.75" customHeight="1" x14ac:dyDescent="0.25">
      <c r="B11" s="7" t="s">
        <v>123</v>
      </c>
      <c r="C11" s="81">
        <v>1.9903162999999998E-2</v>
      </c>
      <c r="D11" s="81">
        <v>1.9903162999999998E-2</v>
      </c>
      <c r="E11" s="81">
        <v>1.3176204E-2</v>
      </c>
      <c r="F11" s="81">
        <v>6.3039756000000001E-3</v>
      </c>
      <c r="G11" s="81">
        <v>2.9553654666666668E-3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0.18063501800000001</v>
      </c>
      <c r="D14" s="82">
        <v>0.170571809943</v>
      </c>
      <c r="E14" s="82">
        <v>0.170571809943</v>
      </c>
      <c r="F14" s="82">
        <v>0.12182578785600001</v>
      </c>
      <c r="G14" s="82">
        <v>0.12182578785600001</v>
      </c>
      <c r="H14" s="83">
        <v>0.26400000000000001</v>
      </c>
      <c r="I14" s="83">
        <v>0.26400000000000001</v>
      </c>
      <c r="J14" s="83">
        <v>0.26400000000000001</v>
      </c>
      <c r="K14" s="83">
        <v>0.26400000000000001</v>
      </c>
      <c r="L14" s="83">
        <v>8.6803482653199995E-2</v>
      </c>
      <c r="M14" s="83">
        <v>9.4522070599249997E-2</v>
      </c>
      <c r="N14" s="83">
        <v>9.9413998400949999E-2</v>
      </c>
      <c r="O14" s="83">
        <v>0.1105363652208</v>
      </c>
    </row>
    <row r="15" spans="1:15" ht="15.75" customHeight="1" x14ac:dyDescent="0.25">
      <c r="B15" s="16" t="s">
        <v>68</v>
      </c>
      <c r="C15" s="80">
        <f>iron_deficiency_anaemia*C14</f>
        <v>9.3208067444867093E-2</v>
      </c>
      <c r="D15" s="80">
        <f t="shared" ref="D15:O15" si="0">iron_deficiency_anaemia*D14</f>
        <v>8.8015429906067241E-2</v>
      </c>
      <c r="E15" s="80">
        <f t="shared" si="0"/>
        <v>8.8015429906067241E-2</v>
      </c>
      <c r="F15" s="80">
        <f t="shared" si="0"/>
        <v>6.2862375062880213E-2</v>
      </c>
      <c r="G15" s="80">
        <f t="shared" si="0"/>
        <v>6.2862375062880213E-2</v>
      </c>
      <c r="H15" s="80">
        <f t="shared" si="0"/>
        <v>0.13622458191049597</v>
      </c>
      <c r="I15" s="80">
        <f t="shared" si="0"/>
        <v>0.13622458191049597</v>
      </c>
      <c r="J15" s="80">
        <f t="shared" si="0"/>
        <v>0.13622458191049597</v>
      </c>
      <c r="K15" s="80">
        <f t="shared" si="0"/>
        <v>0.13622458191049597</v>
      </c>
      <c r="L15" s="80">
        <f t="shared" si="0"/>
        <v>4.479078838184529E-2</v>
      </c>
      <c r="M15" s="80">
        <f t="shared" si="0"/>
        <v>4.877359677536823E-2</v>
      </c>
      <c r="N15" s="80">
        <f t="shared" si="0"/>
        <v>5.1297842303864118E-2</v>
      </c>
      <c r="O15" s="80">
        <f t="shared" si="0"/>
        <v>5.7037008098899111E-2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0.25900000000000001</v>
      </c>
      <c r="D2" s="81">
        <v>0.25900000000000001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0.11800000000000001</v>
      </c>
      <c r="D3" s="81">
        <v>0.184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7.0000000000000007E-2</v>
      </c>
      <c r="D4" s="81">
        <v>7.0000000000000007E-2</v>
      </c>
      <c r="E4" s="81">
        <v>0.32899999999999996</v>
      </c>
      <c r="F4" s="81">
        <v>0.32500000000000001</v>
      </c>
      <c r="G4" s="81">
        <v>0</v>
      </c>
    </row>
    <row r="5" spans="1:7" x14ac:dyDescent="0.25">
      <c r="B5" s="43" t="s">
        <v>169</v>
      </c>
      <c r="C5" s="80">
        <f>1-SUM(C2:C4)</f>
        <v>0.55299999999999994</v>
      </c>
      <c r="D5" s="80">
        <f>1-SUM(D2:D4)</f>
        <v>0.48699999999999999</v>
      </c>
      <c r="E5" s="80">
        <f>1-SUM(E2:E4)</f>
        <v>0.67100000000000004</v>
      </c>
      <c r="F5" s="80">
        <f>1-SUM(F2:F4)</f>
        <v>0.67500000000000004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0.215</v>
      </c>
      <c r="D2" s="144">
        <v>0.20952999999999999</v>
      </c>
      <c r="E2" s="144">
        <v>0.20411000000000001</v>
      </c>
      <c r="F2" s="144">
        <v>0.19877</v>
      </c>
      <c r="G2" s="144">
        <v>0.19347</v>
      </c>
      <c r="H2" s="144">
        <v>0.18902000000000002</v>
      </c>
      <c r="I2" s="144">
        <v>0.18468000000000001</v>
      </c>
      <c r="J2" s="144">
        <v>0.18042999999999998</v>
      </c>
      <c r="K2" s="144">
        <v>0.17627999999999999</v>
      </c>
      <c r="L2" s="144">
        <v>0.17222000000000001</v>
      </c>
      <c r="M2" s="144">
        <v>0.16824999999999998</v>
      </c>
      <c r="N2" s="144">
        <v>0.16438</v>
      </c>
      <c r="O2" s="144">
        <v>0.16061</v>
      </c>
      <c r="P2" s="144">
        <v>0.15694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1.8169999999999999E-2</v>
      </c>
      <c r="D4" s="144">
        <v>1.7769999999999998E-2</v>
      </c>
      <c r="E4" s="144">
        <v>1.7399999999999999E-2</v>
      </c>
      <c r="F4" s="144">
        <v>1.704E-2</v>
      </c>
      <c r="G4" s="144">
        <v>1.6719999999999999E-2</v>
      </c>
      <c r="H4" s="144">
        <v>1.6279999999999999E-2</v>
      </c>
      <c r="I4" s="144">
        <v>1.5869999999999999E-2</v>
      </c>
      <c r="J4" s="144">
        <v>1.546E-2</v>
      </c>
      <c r="K4" s="144">
        <v>1.508E-2</v>
      </c>
      <c r="L4" s="144">
        <v>1.47E-2</v>
      </c>
      <c r="M4" s="144">
        <v>1.435E-2</v>
      </c>
      <c r="N4" s="144">
        <v>1.3999999999999999E-2</v>
      </c>
      <c r="O4" s="144">
        <v>1.367E-2</v>
      </c>
      <c r="P4" s="144">
        <v>1.3349999999999999E-2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6.7979529990497625E-2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0.13622458191049597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5.1286811819729737E-2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0.25899999999999995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0.32633333333333331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17.474</v>
      </c>
      <c r="D13" s="143">
        <v>17.001999999999999</v>
      </c>
      <c r="E13" s="143">
        <v>16.530999999999999</v>
      </c>
      <c r="F13" s="143">
        <v>16.123000000000001</v>
      </c>
      <c r="G13" s="143">
        <v>15.707000000000001</v>
      </c>
      <c r="H13" s="143">
        <v>15.337</v>
      </c>
      <c r="I13" s="143">
        <v>14.955</v>
      </c>
      <c r="J13" s="143">
        <v>14.587</v>
      </c>
      <c r="K13" s="143">
        <v>14.24</v>
      </c>
      <c r="L13" s="143">
        <v>13.907999999999999</v>
      </c>
      <c r="M13" s="143">
        <v>13.61</v>
      </c>
      <c r="N13" s="143">
        <v>13.286</v>
      </c>
      <c r="O13" s="143">
        <v>13.010999999999999</v>
      </c>
      <c r="P13" s="143">
        <v>12.733000000000001</v>
      </c>
    </row>
    <row r="14" spans="1:16" x14ac:dyDescent="0.25">
      <c r="B14" s="16" t="s">
        <v>170</v>
      </c>
      <c r="C14" s="143">
        <f>maternal_mortality</f>
        <v>0.64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0.215</v>
      </c>
      <c r="E2" s="92">
        <f>food_insecure</f>
        <v>0.215</v>
      </c>
      <c r="F2" s="92">
        <f>food_insecure</f>
        <v>0.215</v>
      </c>
      <c r="G2" s="92">
        <f>food_insecure</f>
        <v>0.215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0.215</v>
      </c>
      <c r="F5" s="92">
        <f>food_insecure</f>
        <v>0.215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7.7576108172692212E-2</v>
      </c>
      <c r="D7" s="92">
        <f>diarrhoea_1_5mo/26</f>
        <v>6.8507154685769234E-2</v>
      </c>
      <c r="E7" s="92">
        <f>diarrhoea_6_11mo/26</f>
        <v>6.8507154685769234E-2</v>
      </c>
      <c r="F7" s="92">
        <f>diarrhoea_12_23mo/26</f>
        <v>5.9188772947307691E-2</v>
      </c>
      <c r="G7" s="92">
        <f>diarrhoea_24_59mo/26</f>
        <v>5.9188772947307691E-2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0.215</v>
      </c>
      <c r="F8" s="92">
        <f>food_insecure</f>
        <v>0.215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0.72</v>
      </c>
      <c r="E9" s="92">
        <f>IF(ISBLANK(comm_deliv), frac_children_health_facility,1)</f>
        <v>0.72</v>
      </c>
      <c r="F9" s="92">
        <f>IF(ISBLANK(comm_deliv), frac_children_health_facility,1)</f>
        <v>0.72</v>
      </c>
      <c r="G9" s="92">
        <f>IF(ISBLANK(comm_deliv), frac_children_health_facility,1)</f>
        <v>0.72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7.7576108172692212E-2</v>
      </c>
      <c r="D11" s="92">
        <f>diarrhoea_1_5mo/26</f>
        <v>6.8507154685769234E-2</v>
      </c>
      <c r="E11" s="92">
        <f>diarrhoea_6_11mo/26</f>
        <v>6.8507154685769234E-2</v>
      </c>
      <c r="F11" s="92">
        <f>diarrhoea_12_23mo/26</f>
        <v>5.9188772947307691E-2</v>
      </c>
      <c r="G11" s="92">
        <f>diarrhoea_24_59mo/26</f>
        <v>5.9188772947307691E-2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0.215</v>
      </c>
      <c r="I14" s="92">
        <f>food_insecure</f>
        <v>0.215</v>
      </c>
      <c r="J14" s="92">
        <f>food_insecure</f>
        <v>0.215</v>
      </c>
      <c r="K14" s="92">
        <f>food_insecure</f>
        <v>0.215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0.79500000000000004</v>
      </c>
      <c r="I17" s="92">
        <f>frac_PW_health_facility</f>
        <v>0.79500000000000004</v>
      </c>
      <c r="J17" s="92">
        <f>frac_PW_health_facility</f>
        <v>0.79500000000000004</v>
      </c>
      <c r="K17" s="92">
        <f>frac_PW_health_facility</f>
        <v>0.79500000000000004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0.193</v>
      </c>
      <c r="M23" s="92">
        <f>famplan_unmet_need</f>
        <v>0.193</v>
      </c>
      <c r="N23" s="92">
        <f>famplan_unmet_need</f>
        <v>0.193</v>
      </c>
      <c r="O23" s="92">
        <f>famplan_unmet_need</f>
        <v>0.193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5.7398626403808571E-2</v>
      </c>
      <c r="M24" s="92">
        <f>(1-food_insecure)*(0.49)+food_insecure*(0.7)</f>
        <v>0.53515000000000001</v>
      </c>
      <c r="N24" s="92">
        <f>(1-food_insecure)*(0.49)+food_insecure*(0.7)</f>
        <v>0.53515000000000001</v>
      </c>
      <c r="O24" s="92">
        <f>(1-food_insecure)*(0.49)+food_insecure*(0.7)</f>
        <v>0.53515000000000001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2.459941131591796E-2</v>
      </c>
      <c r="M25" s="92">
        <f>(1-food_insecure)*(0.21)+food_insecure*(0.3)</f>
        <v>0.22935</v>
      </c>
      <c r="N25" s="92">
        <f>(1-food_insecure)*(0.21)+food_insecure*(0.3)</f>
        <v>0.22935</v>
      </c>
      <c r="O25" s="92">
        <f>(1-food_insecure)*(0.21)+food_insecure*(0.3)</f>
        <v>0.22935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2.5259042358398424E-2</v>
      </c>
      <c r="M26" s="92">
        <f>(1-food_insecure)*(0.3)</f>
        <v>0.23549999999999999</v>
      </c>
      <c r="N26" s="92">
        <f>(1-food_insecure)*(0.3)</f>
        <v>0.23549999999999999</v>
      </c>
      <c r="O26" s="92">
        <f>(1-food_insecure)*(0.3)</f>
        <v>0.23549999999999999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0.89274291992187504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2020-03-24T06:49:00Z</dcterms:modified>
</cp:coreProperties>
</file>