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90B9681-C911-4C1A-AFC2-6F34E82B15A6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I29" i="2" s="1"/>
  <c r="G30" i="2"/>
  <c r="H30" i="2"/>
  <c r="I30" i="2" s="1"/>
  <c r="G31" i="2"/>
  <c r="H31" i="2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I11" i="2" s="1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32" i="2"/>
  <c r="I31" i="2"/>
  <c r="I27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3" i="2"/>
  <c r="I12" i="2"/>
  <c r="I9" i="2"/>
  <c r="I8" i="2"/>
  <c r="I7" i="2"/>
  <c r="I6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78FCE843-7548-4405-A777-F617BD5BD2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DF85985-B027-4457-8588-09CE8E1BB52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3B61E4D9-C7F7-4792-8624-E7EEE89A8A6A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8284991-1F58-4040-BAD5-D1476E5C42A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08CEAEAA-9E07-44B4-B4EC-14FB7094B1C7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9A0B670-4B1E-43F8-8FBC-9005CAD21B8A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5CF0422F-7F77-4647-827F-05270152374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1C5BF58C-2110-4FDA-8E26-11F933822CC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0150235D-436E-4155-BA37-D05CA5533BC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B2A39576-425F-4693-89CB-DE70A37384A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ECFB9744-CF15-42D4-8158-70629BFA1B8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4373377-063F-446C-863F-424774D29E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163D067-F9DE-4764-920B-F8EAFF1960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6333B5A-5782-4806-AABA-ACD8895CC3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4131A47-8CBB-4FF0-9268-8C6014C8CC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B803164-F08C-443C-93F3-E443F4B5E51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C59773E-24F8-4911-B945-C5861DA744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5BE0C6C-1CF1-4B8F-AE3E-E02BF1B31F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D6159CC-5295-481B-B53B-BAC6C42EE6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6FB9139-B16F-49A7-9577-DC4A3851407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3C02B8AB-16E1-4FB6-A1B7-4C861FB0754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8037160-3604-4744-B6D4-5F2EDD02CF2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9D1DBFE4-419F-4569-A28D-70C9C93D9A71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1C0F7A4C-7E96-48C1-A8AB-B3287556BF6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D8EA953-0E6F-468C-9F09-D73D48E6427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DA95A7E6-AE12-4680-AE9E-A86CD75F16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91FC913-5A1F-446E-BFE4-0333F33C25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8D82181-BF4C-4364-8894-B020E74AD81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DC3DBDDD-9D74-4DD2-ACAA-D130F3F3C7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2D528D1-68C3-44F9-9CA6-6D2F412FA4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E815C59-6183-463B-9F80-8725A0FDB1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2132D505-5976-4DE0-856A-F6585E9CAF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120FBED-8D89-4907-A84D-7A78F2960C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B6EA95F-5BB0-4F36-88F5-ED30AD45634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200D71ED-6644-4207-9B7F-55F30CA6AAC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0318F2C-667C-440C-A8C7-E43BE1EDF4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9C61E87-6A1C-4795-B45E-90F1CEE6B7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1F4E628-19EB-4E6C-9670-4607F0255C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BE693570-6D19-4412-AB83-05927E81A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1D982AD-590E-4B7B-B336-3C27F38BB0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F970E07-E6E7-46E7-87FE-8BD9B67618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884902D0-87E2-4F0C-9A52-C65C87D2F4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8EAA26F6-FC95-420D-AEF0-6518EAE289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9A07858-7E3C-4444-B183-80CF8BACF7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BCA4814-297C-49A1-8F11-4419E67E19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92ADBBEE-CC90-40F8-A1E0-38B7F9BB1B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BFD0B43-4317-4F90-A3A3-FB7D2C20B6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610D5EE-127A-4FA2-B583-15CC09A166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6194DED9-91AD-406D-919B-28009DCBD4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F5A9D39-F464-4159-BFFC-6F4858A907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E831CC2-B9A6-458B-949B-03AED7E9B7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680CEC2-8064-49FA-A851-552302B631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06E472E-5F2C-42D1-B245-007D992E2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7CB8219-A9B9-4D9F-B313-7627B47F24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F011B32-470B-41FE-AE4A-F09FC169AB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AE7D4DAE-5913-41C5-BE4E-F26C4BD59C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EAD5BF2F-5AE8-471B-94AA-D405044309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70ABAA66-1A72-4F4E-AA54-8AE7EEC842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222F9FAD-E42D-4140-B1F6-E057CD3B13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086DCD46-A886-432B-B386-B79A018118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AC301DA-7CE8-46C8-8080-CF32C80228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37CDD7C5-4FF6-41DD-A3D4-4E1CA76C59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D7023207-7732-470B-940D-61C9F397C1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B26468B-8A4B-4BA5-B429-C63052BB69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FFBB1464-7F4A-479E-9AFF-4A5978BF15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8BD08C56-2065-4F65-A4E1-2CCA52665C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D41162C-07F6-4854-A25F-57CA489D86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B12B676-AD17-4A83-A4A4-ECAD2BBCE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75CB172-0BDC-46D4-A896-325D2A40DA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0D9A744A-BD29-4335-83B1-BEE911DBDF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70482E0F-AD68-426D-9354-0892674F3B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83D933C-2257-4253-ACF2-2259F99126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CD6B2C89-052B-4724-9B30-79131CEEC4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C15CC0D-0720-4A77-8597-142FC74B9A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23906D1-E698-4838-8C42-16438AAB45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6AA68DD-8627-4822-B457-8A6BADCCFD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EC49B7B-A036-48CF-87DC-121C5E766A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8EF7D70E-E6FC-4525-82CC-B6ABE4CF61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87689C0-657C-4356-B0B1-5CFEB7D8BE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D63A660-3E5A-4EA3-9A97-8B90B445AC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0EF86C16-3CDB-43F9-820E-F3C197D0DB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605516D-7AC9-4DC3-A008-E6776F4CA1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B42B33FF-2DE6-4B5B-AA7B-58C49C0ADE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BAD5C9E-C21C-4BF4-B052-11D16E2840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60B92A6-6861-4E20-81C4-DE9E9251C2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663953A-1A3E-438C-9914-2746394E55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666DE74B-9871-4406-A0A8-6B2F4809E2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B1E4252-E2CB-4972-93F4-EF14647A87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D62888D-87B1-4617-BE1A-C465E1A70B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E6DC235-96FC-43C2-B584-602CDAFE88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6792196-6137-48DE-BE2F-58CC038D9A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A31CE38-C501-4CA4-9A09-C59BCB320E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DE10BC5D-EDBA-451A-806A-F199B5A8A1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660D8C49-35B3-4E57-A531-B6F81336E0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B4DE814-1063-48E3-A8A2-E9EEF3961F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CEC4FD8-9D7D-4694-8275-85DDB78FDA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54D5B034-C15D-49DD-8754-2BF9001F6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48CE059-DBCA-4081-A8C7-9E02640ABF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2C8D03F5-985D-40CB-B1DA-85EC6F2AFB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D5F97EA-2934-4BBA-9D19-3FBE0360C7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727C811-0D02-4E3D-A29D-E48E1F240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B1F92365-7F0E-4912-87DD-058A3975F5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5D74AC3-6D22-4E51-B8EC-A8F811FCAA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8CD2E82A-FB5E-4E75-BA5C-825CEF749D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23723A8-0C77-44E3-9037-151497DD53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EA5AC16-90A5-4795-9429-E624DB9965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078C7C6-ED22-4882-AB2C-6E0E0FECEE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7862F26-9ECB-4906-BA98-F9D648382C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F9A937E-552E-46C8-B2B0-0646D8C8DA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1A01E73-B186-4A86-88FD-44D8F46FF4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F4818CA-88D3-4C0F-A58B-441DC9AC35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B2C7776-EE8C-4267-AF07-D3801CF7D6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FA861C0E-280F-4F73-B374-6A7B6E411C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B9FC289-7AF0-468A-AA0B-9319B1EFF4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1AE782C-EB29-4060-8301-4BA9390408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1EF0EFA-CA98-450D-9498-46CDDD56D7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14CCE61-D6BD-4706-823B-9F989EA0FF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E3CC787B-19DE-4E86-BBD1-FC48C8EF5D8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7236D3C-F886-493E-93D7-37F866E90F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C2BC4DFB-1003-403B-93A1-45E818E586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69A6772-A0FD-4CF4-8241-A37412A96CB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AA56247-1E9C-4E13-8E17-ED51C4D57E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44765447-1273-4DE9-AADD-A8B55E2CB4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DF7D8A9-6F5B-48F9-A74B-E228F2879D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A691AD13-AA2B-41A3-8E15-9B1BFB93CB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964F1B6E-69CC-44AA-9D58-B67B15B8C7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71046F8-3295-430D-9750-8658BC942DA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1636A41-61B5-4797-971C-49B3FDCC5A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8114DF55-3119-479D-8671-B3D97A45D1C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CF31290A-D7FF-433A-BFA0-FB1932A015A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3C219CD-A3BD-4ACD-9A7F-93B0DD48C6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2AD8C6A9-F5B5-4759-B230-EF8C1CA20B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82785A6-4135-4911-BEE6-3300C7FD0F5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5E989F3C-0466-4B43-8BCD-03DE730969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9EF059B9-B313-457C-81C2-9B6CEBE296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28CB6640-4420-4ED8-8342-CDF270E63AA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388C306-6E5A-4E33-9EE4-C86B37AFE9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9A75C8A3-7DC0-4CF5-AAD9-735F988C707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D3711EB6-9289-44AB-B56E-9BBADA810BE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443ED60-D18B-4743-B7C8-31C7CBA859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A135008F-3AFD-47EA-993A-83B422CB7B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1D79536-03AE-443B-9BBE-AD2D39BB72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2E3A20AF-D64C-46B8-AE7C-4A6693D3BE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27CE2EE-32AE-4970-9CCE-DC7158B9BA8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66A9ED68-9498-4EC2-B41D-426AE5E88B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AA914D67-886C-467A-BC5E-D8366E984D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5C3B2E1-5DBF-4046-9E7E-5A68AC6FCF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1E3F243C-E811-40CD-A9BA-CDB88C470F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84C0A55-61C9-4157-84C2-CE3B49DC9E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8E6A779E-D0B6-482D-9A2B-AEEAE0B9766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41E45B4-4B61-43EE-84C5-C217874589E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7567FC41-7085-4CCE-BCB8-1D341F13811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829E1BF-2E44-4932-BDB7-89161F4079B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AF7A5BB9-93D5-473C-A58C-6EDD515D5C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3548635-C08E-441E-A317-9B321255EC9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A8BC52F-5C54-4E01-A4E5-33DDFE42E8E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E7E3A8F-C3E4-42D3-829B-25A4E48A24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3C3C371-9DB7-41C0-91C1-76F994716DB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0A26838-4E47-47C5-8A34-EDD23AB4111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494D4B1-F2D2-4EE9-B010-5E61F531EE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1C6931E-C45A-4A0F-B219-0C3F33B44F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0D8F1E6-6664-4214-920B-E986E5C89A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2721FD7-DD56-4FBD-B48B-E75C5F5097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9D7799DD-82A9-43FF-A564-1F1058637D3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2AE69000-7F8B-4B9E-B408-1F485386BF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20461F3-9C40-4911-8D02-33F11D5CE0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CE6299A-D795-4FC0-9563-998C631DD1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2A3F95C-2918-4710-9841-6E4DA7851B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8412984A-7A89-4234-9B6F-87F9BA308D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9EA2059-E623-45C1-A9EC-38D3911ADD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FA9BF46-D1C5-4A17-BE0D-39612071236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EFC235B-FD95-4116-A13A-C7BAD3FA98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F408C16-77D8-479F-91A2-F78F1AEA8B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F7E5822-4607-4AC6-AA59-7F874BBD86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F66DD46-DF31-4D53-8BAD-F1C4E03FBA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F9F5691-5039-4929-8B49-D7EEDF13F9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C0C1C07-ABF9-4F53-871D-18FAAF3F53F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951DF703-C7DA-476F-ACD4-65A93A14DE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C143A20-08CF-459C-ACEF-11BFC574F4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41E9B54-7972-443E-9CA4-21F8B4B741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9CF3E13-247E-4EA1-9749-9AED8293F3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30DCB348-E573-4B52-AA68-82F62C71DF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6B37CB3-AE8D-43FE-AB16-7FD207165F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EB49256B-C9D3-4BC5-8E83-B4D59B3EA90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C17D1918-F888-4968-91FF-B45ECE9CC9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A579446F-24CE-4044-BF0D-E574E002AD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C7474355-F2B5-4BF3-89F7-CCA01A7C0F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BC55488E-1C41-49FD-97FC-9BC3A39FA3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FCE9DDE-06D9-456E-94A6-27DD29C507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B9551E22-0798-430C-9684-BA92B91529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AB879B15-FB65-40F9-AE21-D6AE372B20C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EB8C000-36B7-4F79-8BDD-E6F7767D1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F2F7852-4D65-46B3-9664-9A5C8C98CF7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A893196E-2CB5-4736-9F58-5B3B5FA3C3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1E77672-952E-4C55-B583-B01DE8B270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2E9D96A0-45C2-4F9B-90FD-4345519D41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A87F233B-13D6-4E43-BE16-6E98A556AC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54AA7013-BEBD-4C77-A190-CAE4D8CADF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C5B3C759-F46A-4726-BA77-6119C6565B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5B99F712-16B9-488E-8884-D8126167AD1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EEF6222-AF77-4BC8-A745-EA76172D1B4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B46A76AA-1955-4DD8-BE2A-160D6886C7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D6AD94C-F910-4DE0-BA9F-2BB26368EB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F5875EA7-4B26-44FA-851B-DA49A5D7D62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37A00840-80CF-4E83-AAD3-8C068B2AA32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559BA88-F16F-4AE2-8930-CE45F746134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7EBA6F64-B7B5-4341-AAB4-3AD58DBD73D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FAA021B-C83B-4A9B-A041-D825949ACA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36ABC60-4353-4F43-86B7-6C4DBBB4F7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4AF95BE-078A-4A4D-A36F-6CE08D30EC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84E79F8E-ABA3-4AAD-ABAE-9ADBE7FF4D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1869D75F-4C6B-417E-B9C4-E8C021DB60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215144F4-1B51-4D5D-A029-947E71059A9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EF2DED2-650C-4490-802B-5A93B1C729A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4E985E07-0E31-42A7-B4D5-AF6110ABFABE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2244803-060A-46FF-BD13-A41936B3E4F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64C7368B-C729-4F62-B53B-5EE9C24F1D1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022A7411-6FB0-4BDE-B40E-AF3CA567D85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B769C3D7-5734-4D3B-BA0D-DB822ADAB47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7C2C429-8734-46FB-AB2B-2F1543FC88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56F3A99C-8964-42DD-836F-B0D326D852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1BE16AA-61AF-4BC0-9A6C-39D5204DBA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B85B69F7-295D-422F-9D1B-DC3588E0D9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1BADF0DB-4C7C-497C-A4D5-FF240BF282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CE598BD-8F97-47A2-AC45-2AA31554AF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D965D05-1391-4903-900F-8E691497A9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29C1811B-3860-4C5C-A90A-7FC19511E5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68E824F-87BB-477C-945D-1E5EF58153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0BEBC65E-3FD5-4A7A-B980-458229EE4E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7325F12-F987-41EA-8FA2-71E5F3914F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38E2C975-80BB-4ECA-B1B7-A4B3A31A1F3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970607F1-43F7-4099-B41A-851EB7AE4D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54CE11CD-E4B7-4CF4-8D04-1A48289268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BB30061-A68C-4ADD-80B1-3035C85E24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030503EA-DBDA-4D18-8331-90461D139C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8113E81-8DDC-4D1A-B7BB-62B897ED31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F2E4996-BB75-4907-8E9B-A7CC72F787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0010C45-D711-4546-8C5C-ACD04718FC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99531D0C-E4DF-46D2-89BB-A9B222B9A9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81B60E51-E987-47F3-B1B6-0AFA39A51C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706CA46-41A0-4261-AF97-1A343E6538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AD6091A-CD5A-43A2-8C73-C4E6F45834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C321D41D-78CA-41E4-BA14-F68A7F0E02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32A47B3-FF3C-41E6-B95F-23907BD001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457E442-EF8A-4F4A-9286-58034FCB3A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3112E20-5AC2-4A06-853F-AC836DFBAF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E33DB5A-B556-4770-8C42-F7F6A6A88D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DA225C8-DA32-4A3B-9830-501ADE7448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D0EC3FE-EF6F-4544-BC44-D70FB2CFF6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B5174DA-86C9-4D50-97D9-08562EED41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CAF63F61-7B7D-43D6-AF28-9C854B4A93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C3C5429-6A1F-4BF9-8F54-32C9C37456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494FC9D-E25B-4954-A434-24971A591C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4DED658-A0BF-42EE-BF98-5CEB80F6C7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76DD2B3-8FAD-4A46-B269-CA13208371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45B300F-C572-4F02-8D1B-E7E6F6D61C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6557A9A0-3426-4412-951A-BF77C97142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A6C8DF98-7EA2-45C9-9D4F-12990A65A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0CD731C-DCBD-43D5-8712-B0E5702C9A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37AEF75-AD7F-4577-9B60-A822CE2B6B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93A2B15-0757-4FBB-B151-87AEE1BCE7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4111C17-67F7-4E4E-A05C-24164D28EF6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E0C38D80-5BEC-4996-BAE4-F6EA7E77AEB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5E26520-752C-4D63-8BB8-87E02AA1CE6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83B9998-D0D3-4302-B2CF-A68A7FBB941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2F817C6-E3A8-424D-93BF-ACA04637C4D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A7417787-BE58-4FAF-891E-447B1B05FE9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BDC266FD-E472-40DA-B33E-46FDCD09B9C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E045FBE-6E97-406D-8399-D43972B4B6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1EBDE3F1-49FD-4EBD-8FBB-8F0710C05C1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164EF84-0675-423C-8184-C960E2C22D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D2F92C2-C9FF-4BEA-9231-B581DF0135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316B45AF-D14E-46D8-9815-B326E171B6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26150F3-3858-4C58-8A83-F98F22AC2A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1C6BC5A-17AB-448F-A289-64538ECC491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E061C981-1E5C-42C4-899F-B90747A0D5B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0419FB9-3A12-4901-AB6D-A9AADA8869B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2CE78C6D-619F-485C-A871-6FBC22A9A9A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5ABD61C-6DDB-445B-8A8F-BD1F76529B6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F3C0C527-625C-49E1-AF53-0CA7F3C0992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0925BA5B-3536-4FAA-B0C2-9C6A2766806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F8EDB200-B573-432B-8581-72E626E60B8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B09F1A5B-DBC6-4B34-AC84-EC0E7F53E3E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FF5FBC5-B413-4BFA-9F72-E81AAD4F2E2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0466589-6136-438C-A310-1D8D6B2166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E37B6BD4-C5FE-4CC1-8742-DA79639C28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B215357B-428D-463B-B125-3ACF530D2D2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17FD7DE-BD52-4CE4-AAFA-6DB0F81A8CA9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C8E454DD-34A0-4C72-A4A4-9DA64EB79354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5F94323-9B53-4A40-9D0F-7E617463803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27D21937-AEC1-4907-9A1F-DE99607916D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F624E3F0-2C26-4D90-A7CD-DF3BDC52499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E17FF42-78D6-4DD6-A504-04063BC6EF0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4DEFC959-92C3-4338-B27D-22D3036450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2F38695-7980-47A8-9D9A-F592B79478C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C8C2D67-0CFC-477C-B628-AC9F2876E71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4ABA416-9729-4FDB-8AF7-C1C74574A03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18E25FE6-7947-467F-B650-51A75808E9A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B9F33C5-3C52-4971-95CF-1FCCBBFE426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232248D-9E62-4623-BACB-9429B3DF898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FE3C4B0-CD89-4245-9FA0-E566A130872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6DBE1F7-08C5-4C22-9EFB-1FD1E72CDBF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0BE20043-61BA-48E7-B4CF-AF46C74E04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9574E91-A62D-4EAF-8644-5970E31EE0A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34041E2-25D6-439A-B8F5-03DE9225B1A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083E23B-8D6F-4FF1-ACB9-BCD95F5B34B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8CF530DF-70A5-4C33-9653-E4A69161300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04B8CB45-B869-4B12-9791-FC31DFE099E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041617D-80D4-4795-BCCA-57E75F1F2A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9E898BB-E733-427E-8A3C-BB6740AA261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A71CC85-3ADC-4E40-82B6-8AD3F5A742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07C1C3E4-962F-4E88-B36B-D1A8E0BDCF8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C65797A-6637-4BED-99C8-00E646DAAEA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075AC62-1819-4AF7-98B8-4875DD095F7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35547823-1D22-4FA5-B12C-EB9C3A699DB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695DA81-D401-4A0D-BC69-23CE266AFB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B0E41EA-3D68-4976-9939-80FFA108735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4943F7E-B385-4135-8417-D445FA201E4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3A1D8E9B-8D80-41AC-895D-440C4720326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3295E950-6A4E-4415-82B1-8E9807823C4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D54EC82-57CC-4B56-993F-7794599F95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F52873B6-DFB0-488E-A7AF-713908A26AE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F65AA61-5462-4443-A180-7BAE589F369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<sst xmlns="http://schemas.openxmlformats.org/spreadsheetml/2006/main" count="1102" uniqueCount="271">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</sst>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12917848</v>
      </c>
    </row>
    <row r="8" spans="1:3" ht="15" customHeight="1" x14ac:dyDescent="0.25">
      <c r="B8" s="7" t="s">
        <v>106</v>
      </c>
      <c r="C8" s="70">
        <v>0.32500000000000001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0.81604232788085895</v>
      </c>
    </row>
    <row r="11" spans="1:3" ht="15" customHeight="1" x14ac:dyDescent="0.25">
      <c r="B11" s="7" t="s">
        <v>108</v>
      </c>
      <c r="C11" s="70">
        <v>0.82799999999999996</v>
      </c>
    </row>
    <row r="12" spans="1:3" ht="15" customHeight="1" x14ac:dyDescent="0.25">
      <c r="B12" s="7" t="s">
        <v>109</v>
      </c>
      <c r="C12" s="70">
        <v>0.68099999999999994</v>
      </c>
    </row>
    <row r="13" spans="1:3" ht="15" customHeight="1" x14ac:dyDescent="0.25">
      <c r="B13" s="7" t="s">
        <v>110</v>
      </c>
      <c r="C13" s="70">
        <v>0.2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0.1125</v>
      </c>
    </row>
    <row r="24" spans="1:3" ht="15" customHeight="1" x14ac:dyDescent="0.25">
      <c r="B24" s="20" t="s">
        <v>102</v>
      </c>
      <c r="C24" s="71">
        <v>0.58400000000000007</v>
      </c>
    </row>
    <row r="25" spans="1:3" ht="15" customHeight="1" x14ac:dyDescent="0.25">
      <c r="B25" s="20" t="s">
        <v>103</v>
      </c>
      <c r="C25" s="71">
        <v>0.28139999999999998</v>
      </c>
    </row>
    <row r="26" spans="1:3" ht="15" customHeight="1" x14ac:dyDescent="0.25">
      <c r="B26" s="20" t="s">
        <v>104</v>
      </c>
      <c r="C26" s="71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0.33500000000000002</v>
      </c>
    </row>
    <row r="30" spans="1:3" ht="14.25" customHeight="1" x14ac:dyDescent="0.25">
      <c r="B30" s="30" t="s">
        <v>76</v>
      </c>
      <c r="C30" s="73">
        <v>5.2000000000000005E-2</v>
      </c>
    </row>
    <row r="31" spans="1:3" ht="14.25" customHeight="1" x14ac:dyDescent="0.25">
      <c r="B31" s="30" t="s">
        <v>77</v>
      </c>
      <c r="C31" s="73">
        <v>8.6999999999999994E-2</v>
      </c>
    </row>
    <row r="32" spans="1:3" ht="14.25" customHeight="1" x14ac:dyDescent="0.25">
      <c r="B32" s="30" t="s">
        <v>78</v>
      </c>
      <c r="C32" s="73">
        <v>0.52599999998509883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18.8</v>
      </c>
      <c r="D38" s="17"/>
      <c r="E38" s="18"/>
    </row>
    <row r="39" spans="1:5" ht="15" customHeight="1" x14ac:dyDescent="0.25">
      <c r="B39" s="16" t="s">
        <v>90</v>
      </c>
      <c r="C39" s="75">
        <v>22.1</v>
      </c>
      <c r="D39" s="17"/>
      <c r="E39" s="17"/>
    </row>
    <row r="40" spans="1:5" ht="15" customHeight="1" x14ac:dyDescent="0.25">
      <c r="B40" s="16" t="s">
        <v>171</v>
      </c>
      <c r="C40" s="75">
        <v>0.33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1.1699999999999999E-2</v>
      </c>
      <c r="D45" s="17"/>
    </row>
    <row r="46" spans="1:5" ht="15.75" customHeight="1" x14ac:dyDescent="0.25">
      <c r="B46" s="16" t="s">
        <v>11</v>
      </c>
      <c r="C46" s="71">
        <v>6.1100000000000002E-2</v>
      </c>
      <c r="D46" s="17"/>
    </row>
    <row r="47" spans="1:5" ht="15.75" customHeight="1" x14ac:dyDescent="0.25">
      <c r="B47" s="16" t="s">
        <v>12</v>
      </c>
      <c r="C47" s="71">
        <v>8.7400000000000005E-2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4.4007478497399921</v>
      </c>
      <c r="D51" s="17"/>
    </row>
    <row r="52" spans="1:4" ht="15" customHeight="1" x14ac:dyDescent="0.25">
      <c r="B52" s="16" t="s">
        <v>125</v>
      </c>
      <c r="C52" s="76">
        <v>4.1294301114399996</v>
      </c>
    </row>
    <row r="53" spans="1:4" ht="15.75" customHeight="1" x14ac:dyDescent="0.25">
      <c r="B53" s="16" t="s">
        <v>126</v>
      </c>
      <c r="C53" s="76">
        <v>4.1294301114399996</v>
      </c>
    </row>
    <row r="54" spans="1:4" ht="15.75" customHeight="1" x14ac:dyDescent="0.25">
      <c r="B54" s="16" t="s">
        <v>127</v>
      </c>
      <c r="C54" s="76">
        <v>2.21557386425</v>
      </c>
    </row>
    <row r="55" spans="1:4" ht="15.75" customHeight="1" x14ac:dyDescent="0.25">
      <c r="B55" s="16" t="s">
        <v>128</v>
      </c>
      <c r="C55" s="76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0.53153879690099282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53.780271394236287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39.784890774088787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347.78517426090025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0.95829964668228185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1.3843564885706789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1.3843564885706789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1.3843564885706789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1.3843564885706789</v>
      </c>
      <c r="E13" s="86" t="s">
        <v>202</v>
      </c>
    </row>
    <row r="14" spans="1:5" ht="15.75" customHeight="1" x14ac:dyDescent="0.25">
      <c r="A14" s="11" t="s">
        <v>187</v>
      </c>
      <c r="B14" s="85">
        <v>0.36099999999999999</v>
      </c>
      <c r="C14" s="85">
        <v>0.95</v>
      </c>
      <c r="D14" s="86">
        <v>12.917190217884697</v>
      </c>
      <c r="E14" s="86" t="s">
        <v>202</v>
      </c>
    </row>
    <row r="15" spans="1:5" ht="15.75" customHeight="1" x14ac:dyDescent="0.25">
      <c r="A15" s="11" t="s">
        <v>209</v>
      </c>
      <c r="B15" s="85">
        <v>0.36099999999999999</v>
      </c>
      <c r="C15" s="85">
        <v>0.95</v>
      </c>
      <c r="D15" s="86">
        <v>12.917190217884697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0.62395601778004439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0.43200000000000005</v>
      </c>
      <c r="C18" s="85">
        <v>0.95</v>
      </c>
      <c r="D18" s="87">
        <v>8.03774489307912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8.03774489307912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8.03774489307912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12.623895982378892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22.241140820701322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4.2199693960316731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18.478294846889369</v>
      </c>
      <c r="E24" s="86" t="s">
        <v>202</v>
      </c>
    </row>
    <row r="25" spans="1:5" ht="15.75" customHeight="1" x14ac:dyDescent="0.25">
      <c r="A25" s="52" t="s">
        <v>87</v>
      </c>
      <c r="B25" s="85">
        <v>0.42100000000000004</v>
      </c>
      <c r="C25" s="85">
        <v>0.95</v>
      </c>
      <c r="D25" s="86">
        <v>18.478616276411273</v>
      </c>
      <c r="E25" s="86" t="s">
        <v>202</v>
      </c>
    </row>
    <row r="26" spans="1:5" ht="15.75" customHeight="1" x14ac:dyDescent="0.25">
      <c r="A26" s="52" t="s">
        <v>137</v>
      </c>
      <c r="B26" s="85">
        <v>0.36099999999999999</v>
      </c>
      <c r="C26" s="85">
        <v>0.95</v>
      </c>
      <c r="D26" s="86">
        <v>5.005257445023231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6.6653184106259564</v>
      </c>
      <c r="E27" s="86" t="s">
        <v>202</v>
      </c>
    </row>
    <row r="28" spans="1:5" ht="15.75" customHeight="1" x14ac:dyDescent="0.25">
      <c r="A28" s="52" t="s">
        <v>84</v>
      </c>
      <c r="B28" s="85">
        <v>0.28399999999999997</v>
      </c>
      <c r="C28" s="85">
        <v>0.95</v>
      </c>
      <c r="D28" s="86">
        <v>2.1283575216582782</v>
      </c>
      <c r="E28" s="86" t="s">
        <v>202</v>
      </c>
    </row>
    <row r="29" spans="1:5" ht="15.75" customHeight="1" x14ac:dyDescent="0.25">
      <c r="A29" s="52" t="s">
        <v>58</v>
      </c>
      <c r="B29" s="85">
        <v>0.43200000000000005</v>
      </c>
      <c r="C29" s="85">
        <v>0.95</v>
      </c>
      <c r="D29" s="86">
        <v>103.95000619440961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3.9648996179997198</v>
      </c>
      <c r="E30" s="86" t="s">
        <v>202</v>
      </c>
    </row>
    <row r="31" spans="1:5" ht="15.75" customHeight="1" x14ac:dyDescent="0.25">
      <c r="A31" s="52" t="s">
        <v>28</v>
      </c>
      <c r="B31" s="85">
        <v>0.48049999999999998</v>
      </c>
      <c r="C31" s="85">
        <v>0.95</v>
      </c>
      <c r="D31" s="86">
        <v>1.3299586737612634</v>
      </c>
      <c r="E31" s="86" t="s">
        <v>202</v>
      </c>
    </row>
    <row r="32" spans="1:5" ht="15.75" customHeight="1" x14ac:dyDescent="0.25">
      <c r="A32" s="52" t="s">
        <v>83</v>
      </c>
      <c r="B32" s="85">
        <v>0.89800000000000002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0.60799999999999998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0.94700000000000006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0.99400000000000011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0.99299999999999999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1.7000000000000001E-2</v>
      </c>
      <c r="C37" s="85">
        <v>0.95</v>
      </c>
      <c r="D37" s="86">
        <v>5.0532276389922108</v>
      </c>
      <c r="E37" s="86" t="s">
        <v>202</v>
      </c>
    </row>
    <row r="38" spans="1:6" ht="15.75" customHeight="1" x14ac:dyDescent="0.25">
      <c r="A38" s="52" t="s">
        <v>60</v>
      </c>
      <c r="B38" s="85">
        <v>1.7000000000000001E-2</v>
      </c>
      <c r="C38" s="85">
        <v>0.95</v>
      </c>
      <c r="D38" s="86">
        <v>1.3510811901306936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0.17335686419999999</v>
      </c>
      <c r="C3" s="26">
        <f>frac_mam_1_5months * 2.6</f>
        <v>0.17335686419999999</v>
      </c>
      <c r="D3" s="26">
        <f>frac_mam_6_11months * 2.6</f>
        <v>0.12886480359999999</v>
      </c>
      <c r="E3" s="26">
        <f>frac_mam_12_23months * 2.6</f>
        <v>0.14281068619999998</v>
      </c>
      <c r="F3" s="26">
        <f>frac_mam_24_59months * 2.6</f>
        <v>0.10195645893333337</v>
      </c>
    </row>
    <row r="4" spans="1:6" ht="15.75" customHeight="1" x14ac:dyDescent="0.25">
      <c r="A4" s="3" t="s">
        <v>66</v>
      </c>
      <c r="B4" s="26">
        <f>frac_sam_1month * 2.6</f>
        <v>0.24878378979999999</v>
      </c>
      <c r="C4" s="26">
        <f>frac_sam_1_5months * 2.6</f>
        <v>0.24878378979999999</v>
      </c>
      <c r="D4" s="26">
        <f>frac_sam_6_11months * 2.6</f>
        <v>0.19474341640000001</v>
      </c>
      <c r="E4" s="26">
        <f>frac_sam_12_23months * 2.6</f>
        <v>0.111735338</v>
      </c>
      <c r="F4" s="26">
        <f>frac_sam_24_59months * 2.6</f>
        <v>9.2546452266666676E-2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2506238.0023409999</v>
      </c>
      <c r="C2" s="78">
        <v>4055375</v>
      </c>
      <c r="D2" s="78">
        <v>8061520</v>
      </c>
      <c r="E2" s="78">
        <v>7183872</v>
      </c>
      <c r="F2" s="78">
        <v>5154977</v>
      </c>
      <c r="G2" s="22">
        <f t="shared" ref="G2:G40" si="0">C2+D2+E2+F2</f>
        <v>24455744</v>
      </c>
      <c r="H2" s="22">
        <f t="shared" ref="H2:H40" si="1">(B2 + stillbirth*B2/(1000-stillbirth))/(1-abortion)</f>
        <v>2916312.3466533083</v>
      </c>
      <c r="I2" s="22">
        <f>G2-H2</f>
        <v>21539431.653346691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2479497.4506666665</v>
      </c>
      <c r="C3" s="78">
        <v>4145000</v>
      </c>
      <c r="D3" s="78">
        <v>7986000</v>
      </c>
      <c r="E3" s="78">
        <v>7414000</v>
      </c>
      <c r="F3" s="78">
        <v>5331000</v>
      </c>
      <c r="G3" s="22">
        <f t="shared" si="0"/>
        <v>24876000</v>
      </c>
      <c r="H3" s="22">
        <f t="shared" si="1"/>
        <v>2885196.4666246213</v>
      </c>
      <c r="I3" s="22">
        <f t="shared" ref="I3:I15" si="3">G3-H3</f>
        <v>21990803.533375379</v>
      </c>
    </row>
    <row r="4" spans="1:9" ht="15.75" customHeight="1" x14ac:dyDescent="0.25">
      <c r="A4" s="7">
        <f t="shared" si="2"/>
        <v>2019</v>
      </c>
      <c r="B4" s="77">
        <v>2449335.213</v>
      </c>
      <c r="C4" s="78">
        <v>4234000</v>
      </c>
      <c r="D4" s="78">
        <v>7919000</v>
      </c>
      <c r="E4" s="78">
        <v>7608000</v>
      </c>
      <c r="F4" s="78">
        <v>5515000</v>
      </c>
      <c r="G4" s="22">
        <f t="shared" si="0"/>
        <v>25276000</v>
      </c>
      <c r="H4" s="22">
        <f t="shared" si="1"/>
        <v>2850099.039314115</v>
      </c>
      <c r="I4" s="22">
        <f t="shared" si="3"/>
        <v>22425900.960685886</v>
      </c>
    </row>
    <row r="5" spans="1:9" ht="15.75" customHeight="1" x14ac:dyDescent="0.25">
      <c r="A5" s="7">
        <f t="shared" si="2"/>
        <v>2020</v>
      </c>
      <c r="B5" s="77">
        <v>2416025.27</v>
      </c>
      <c r="C5" s="78">
        <v>4307000</v>
      </c>
      <c r="D5" s="78">
        <v>7873000</v>
      </c>
      <c r="E5" s="78">
        <v>7750000</v>
      </c>
      <c r="F5" s="78">
        <v>5703000</v>
      </c>
      <c r="G5" s="22">
        <f t="shared" si="0"/>
        <v>25633000</v>
      </c>
      <c r="H5" s="22">
        <f t="shared" si="1"/>
        <v>2811338.8744987701</v>
      </c>
      <c r="I5" s="22">
        <f t="shared" si="3"/>
        <v>22821661.12550123</v>
      </c>
    </row>
    <row r="6" spans="1:9" ht="15.75" customHeight="1" x14ac:dyDescent="0.25">
      <c r="A6" s="7">
        <f t="shared" si="2"/>
        <v>2021</v>
      </c>
      <c r="B6" s="77">
        <v>2408502.2752</v>
      </c>
      <c r="C6" s="78">
        <v>4379000</v>
      </c>
      <c r="D6" s="78">
        <v>7881000</v>
      </c>
      <c r="E6" s="78">
        <v>7892000</v>
      </c>
      <c r="F6" s="78">
        <v>5909000</v>
      </c>
      <c r="G6" s="22">
        <f t="shared" si="0"/>
        <v>26061000</v>
      </c>
      <c r="H6" s="22">
        <f t="shared" si="1"/>
        <v>2802584.9562361967</v>
      </c>
      <c r="I6" s="22">
        <f t="shared" si="3"/>
        <v>23258415.043763801</v>
      </c>
    </row>
    <row r="7" spans="1:9" ht="15.75" customHeight="1" x14ac:dyDescent="0.25">
      <c r="A7" s="7">
        <f t="shared" si="2"/>
        <v>2022</v>
      </c>
      <c r="B7" s="77">
        <v>2398744.3391999998</v>
      </c>
      <c r="C7" s="78">
        <v>4424000</v>
      </c>
      <c r="D7" s="78">
        <v>7905000</v>
      </c>
      <c r="E7" s="78">
        <v>7976000</v>
      </c>
      <c r="F7" s="78">
        <v>6111000</v>
      </c>
      <c r="G7" s="22">
        <f t="shared" si="0"/>
        <v>26416000</v>
      </c>
      <c r="H7" s="22">
        <f t="shared" si="1"/>
        <v>2791230.4124107212</v>
      </c>
      <c r="I7" s="22">
        <f t="shared" si="3"/>
        <v>23624769.587589279</v>
      </c>
    </row>
    <row r="8" spans="1:9" ht="15.75" customHeight="1" x14ac:dyDescent="0.25">
      <c r="A8" s="7">
        <f t="shared" si="2"/>
        <v>2023</v>
      </c>
      <c r="B8" s="77">
        <v>2386877.3855999992</v>
      </c>
      <c r="C8" s="78">
        <v>4470000</v>
      </c>
      <c r="D8" s="78">
        <v>7951000</v>
      </c>
      <c r="E8" s="78">
        <v>8012000</v>
      </c>
      <c r="F8" s="78">
        <v>6313000</v>
      </c>
      <c r="G8" s="22">
        <f t="shared" si="0"/>
        <v>26746000</v>
      </c>
      <c r="H8" s="22">
        <f t="shared" si="1"/>
        <v>2777421.7704267921</v>
      </c>
      <c r="I8" s="22">
        <f t="shared" si="3"/>
        <v>23968578.229573209</v>
      </c>
    </row>
    <row r="9" spans="1:9" ht="15.75" customHeight="1" x14ac:dyDescent="0.25">
      <c r="A9" s="7">
        <f t="shared" si="2"/>
        <v>2024</v>
      </c>
      <c r="B9" s="77">
        <v>2373041.5199999996</v>
      </c>
      <c r="C9" s="78">
        <v>4562000</v>
      </c>
      <c r="D9" s="78">
        <v>8017000</v>
      </c>
      <c r="E9" s="78">
        <v>8013000</v>
      </c>
      <c r="F9" s="78">
        <v>6525000</v>
      </c>
      <c r="G9" s="22">
        <f t="shared" si="0"/>
        <v>27117000</v>
      </c>
      <c r="H9" s="22">
        <f t="shared" si="1"/>
        <v>2761322.0601685382</v>
      </c>
      <c r="I9" s="22">
        <f t="shared" si="3"/>
        <v>24355677.939831462</v>
      </c>
    </row>
    <row r="10" spans="1:9" ht="15.75" customHeight="1" x14ac:dyDescent="0.25">
      <c r="A10" s="7">
        <f t="shared" si="2"/>
        <v>2025</v>
      </c>
      <c r="B10" s="77">
        <v>2357388.7080000001</v>
      </c>
      <c r="C10" s="78">
        <v>4722000</v>
      </c>
      <c r="D10" s="78">
        <v>8105000</v>
      </c>
      <c r="E10" s="78">
        <v>7988000</v>
      </c>
      <c r="F10" s="78">
        <v>6749000</v>
      </c>
      <c r="G10" s="22">
        <f t="shared" si="0"/>
        <v>27564000</v>
      </c>
      <c r="H10" s="22">
        <f t="shared" si="1"/>
        <v>2743108.1120707109</v>
      </c>
      <c r="I10" s="22">
        <f t="shared" si="3"/>
        <v>24820891.887929291</v>
      </c>
    </row>
    <row r="11" spans="1:9" ht="15.75" customHeight="1" x14ac:dyDescent="0.25">
      <c r="A11" s="7">
        <f t="shared" si="2"/>
        <v>2026</v>
      </c>
      <c r="B11" s="77">
        <v>2371204.7999999998</v>
      </c>
      <c r="C11" s="78">
        <v>4932000</v>
      </c>
      <c r="D11" s="78">
        <v>8204000</v>
      </c>
      <c r="E11" s="78">
        <v>7941000</v>
      </c>
      <c r="F11" s="78">
        <v>6959000</v>
      </c>
      <c r="G11" s="22">
        <f t="shared" si="0"/>
        <v>28036000</v>
      </c>
      <c r="H11" s="22">
        <f t="shared" si="1"/>
        <v>2759184.8133434798</v>
      </c>
      <c r="I11" s="22">
        <f t="shared" si="3"/>
        <v>25276815.18665652</v>
      </c>
    </row>
    <row r="12" spans="1:9" ht="15.75" customHeight="1" x14ac:dyDescent="0.25">
      <c r="A12" s="7">
        <f t="shared" si="2"/>
        <v>2027</v>
      </c>
      <c r="B12" s="77">
        <v>2384230.932</v>
      </c>
      <c r="C12" s="78">
        <v>5210000</v>
      </c>
      <c r="D12" s="78">
        <v>8317000</v>
      </c>
      <c r="E12" s="78">
        <v>7869000</v>
      </c>
      <c r="F12" s="78">
        <v>7178000</v>
      </c>
      <c r="G12" s="22">
        <f t="shared" si="0"/>
        <v>28574000</v>
      </c>
      <c r="H12" s="22">
        <f t="shared" si="1"/>
        <v>2774342.3002003757</v>
      </c>
      <c r="I12" s="22">
        <f t="shared" si="3"/>
        <v>25799657.699799623</v>
      </c>
    </row>
    <row r="13" spans="1:9" ht="15.75" customHeight="1" x14ac:dyDescent="0.25">
      <c r="A13" s="7">
        <f t="shared" si="2"/>
        <v>2028</v>
      </c>
      <c r="B13" s="77">
        <v>2396574.5360000003</v>
      </c>
      <c r="C13" s="78">
        <v>5511000</v>
      </c>
      <c r="D13" s="78">
        <v>8458000</v>
      </c>
      <c r="E13" s="78">
        <v>7786000</v>
      </c>
      <c r="F13" s="78">
        <v>7394000</v>
      </c>
      <c r="G13" s="22">
        <f t="shared" si="0"/>
        <v>29149000</v>
      </c>
      <c r="H13" s="22">
        <f t="shared" si="1"/>
        <v>2788705.5828230856</v>
      </c>
      <c r="I13" s="22">
        <f t="shared" si="3"/>
        <v>26360294.417176913</v>
      </c>
    </row>
    <row r="14" spans="1:9" ht="15.75" customHeight="1" x14ac:dyDescent="0.25">
      <c r="A14" s="7">
        <f t="shared" si="2"/>
        <v>2029</v>
      </c>
      <c r="B14" s="77">
        <v>2408400.4720000005</v>
      </c>
      <c r="C14" s="78">
        <v>5767000</v>
      </c>
      <c r="D14" s="78">
        <v>8642000</v>
      </c>
      <c r="E14" s="78">
        <v>7714000</v>
      </c>
      <c r="F14" s="78">
        <v>7585000</v>
      </c>
      <c r="G14" s="22">
        <f t="shared" si="0"/>
        <v>29708000</v>
      </c>
      <c r="H14" s="22">
        <f t="shared" si="1"/>
        <v>2802466.4958470357</v>
      </c>
      <c r="I14" s="22">
        <f t="shared" si="3"/>
        <v>26905533.504152965</v>
      </c>
    </row>
    <row r="15" spans="1:9" ht="15.75" customHeight="1" x14ac:dyDescent="0.25">
      <c r="A15" s="7">
        <f t="shared" si="2"/>
        <v>2030</v>
      </c>
      <c r="B15" s="77">
        <v>2419827.1680000001</v>
      </c>
      <c r="C15" s="78">
        <v>5933000</v>
      </c>
      <c r="D15" s="78">
        <v>8878000</v>
      </c>
      <c r="E15" s="78">
        <v>7668000</v>
      </c>
      <c r="F15" s="78">
        <v>7737000</v>
      </c>
      <c r="G15" s="22">
        <f t="shared" si="0"/>
        <v>30216000</v>
      </c>
      <c r="H15" s="22">
        <f t="shared" si="1"/>
        <v>2815762.8446355886</v>
      </c>
      <c r="I15" s="22">
        <f t="shared" si="3"/>
        <v>27400237.155364413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127.99836162097125</v>
      </c>
      <c r="I17" s="22">
        <f t="shared" si="4"/>
        <v>-127.99836162097125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6.5359978999999999E-2</v>
      </c>
    </row>
    <row r="4" spans="1:8" ht="15.75" customHeight="1" x14ac:dyDescent="0.25">
      <c r="B4" s="24" t="s">
        <v>7</v>
      </c>
      <c r="C4" s="79">
        <v>3.171072158590612E-2</v>
      </c>
    </row>
    <row r="5" spans="1:8" ht="15.75" customHeight="1" x14ac:dyDescent="0.25">
      <c r="B5" s="24" t="s">
        <v>8</v>
      </c>
      <c r="C5" s="79">
        <v>0.2134117148649359</v>
      </c>
    </row>
    <row r="6" spans="1:8" ht="15.75" customHeight="1" x14ac:dyDescent="0.25">
      <c r="B6" s="24" t="s">
        <v>10</v>
      </c>
      <c r="C6" s="79">
        <v>6.9063758588739158E-2</v>
      </c>
    </row>
    <row r="7" spans="1:8" ht="15.75" customHeight="1" x14ac:dyDescent="0.25">
      <c r="B7" s="24" t="s">
        <v>13</v>
      </c>
      <c r="C7" s="79">
        <v>0.19251064341802926</v>
      </c>
    </row>
    <row r="8" spans="1:8" ht="15.75" customHeight="1" x14ac:dyDescent="0.25">
      <c r="B8" s="24" t="s">
        <v>14</v>
      </c>
      <c r="C8" s="79">
        <v>9.8431481519865318E-4</v>
      </c>
    </row>
    <row r="9" spans="1:8" ht="15.75" customHeight="1" x14ac:dyDescent="0.25">
      <c r="B9" s="24" t="s">
        <v>27</v>
      </c>
      <c r="C9" s="79">
        <v>0.24421704354532775</v>
      </c>
    </row>
    <row r="10" spans="1:8" ht="15.75" customHeight="1" x14ac:dyDescent="0.25">
      <c r="B10" s="24" t="s">
        <v>15</v>
      </c>
      <c r="C10" s="79">
        <v>0.18274182418186324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0.240540723126765</v>
      </c>
      <c r="D14" s="79">
        <v>0.240540723126765</v>
      </c>
      <c r="E14" s="79">
        <v>0.137349509096935</v>
      </c>
      <c r="F14" s="79">
        <v>0.137349509096935</v>
      </c>
    </row>
    <row r="15" spans="1:8" ht="15.75" customHeight="1" x14ac:dyDescent="0.25">
      <c r="B15" s="24" t="s">
        <v>16</v>
      </c>
      <c r="C15" s="79">
        <v>0.29608251547840198</v>
      </c>
      <c r="D15" s="79">
        <v>0.29608251547840198</v>
      </c>
      <c r="E15" s="79">
        <v>0.228640996587302</v>
      </c>
      <c r="F15" s="79">
        <v>0.228640996587302</v>
      </c>
    </row>
    <row r="16" spans="1:8" ht="15.75" customHeight="1" x14ac:dyDescent="0.25">
      <c r="B16" s="24" t="s">
        <v>17</v>
      </c>
      <c r="C16" s="79">
        <v>8.2990744429340194E-3</v>
      </c>
      <c r="D16" s="79">
        <v>8.2990744429340194E-3</v>
      </c>
      <c r="E16" s="79">
        <v>7.9276174011641293E-3</v>
      </c>
      <c r="F16" s="79">
        <v>7.9276174011641293E-3</v>
      </c>
    </row>
    <row r="17" spans="1:8" ht="15.75" customHeight="1" x14ac:dyDescent="0.25">
      <c r="B17" s="24" t="s">
        <v>18</v>
      </c>
      <c r="C17" s="79">
        <v>1.1767317298102601E-3</v>
      </c>
      <c r="D17" s="79">
        <v>1.1767317298102601E-3</v>
      </c>
      <c r="E17" s="79">
        <v>5.6889512526633905E-3</v>
      </c>
      <c r="F17" s="79">
        <v>5.6889512526633905E-3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9.1483946534161101E-3</v>
      </c>
      <c r="D19" s="79">
        <v>9.1483946534161101E-3</v>
      </c>
      <c r="E19" s="79">
        <v>1.8460568912530201E-2</v>
      </c>
      <c r="F19" s="79">
        <v>1.8460568912530201E-2</v>
      </c>
    </row>
    <row r="20" spans="1:8" ht="15.75" customHeight="1" x14ac:dyDescent="0.25">
      <c r="B20" s="24" t="s">
        <v>21</v>
      </c>
      <c r="C20" s="79">
        <v>7.1222859931964697E-5</v>
      </c>
      <c r="D20" s="79">
        <v>7.1222859931964697E-5</v>
      </c>
      <c r="E20" s="79">
        <v>6.9373558858081897E-4</v>
      </c>
      <c r="F20" s="79">
        <v>6.9373558858081897E-4</v>
      </c>
    </row>
    <row r="21" spans="1:8" ht="15.75" customHeight="1" x14ac:dyDescent="0.25">
      <c r="B21" s="24" t="s">
        <v>22</v>
      </c>
      <c r="C21" s="79">
        <v>4.2200197156400901E-2</v>
      </c>
      <c r="D21" s="79">
        <v>4.2200197156400901E-2</v>
      </c>
      <c r="E21" s="79">
        <v>0.21588254422052899</v>
      </c>
      <c r="F21" s="79">
        <v>0.21588254422052899</v>
      </c>
    </row>
    <row r="22" spans="1:8" ht="15.75" customHeight="1" x14ac:dyDescent="0.25">
      <c r="B22" s="24" t="s">
        <v>23</v>
      </c>
      <c r="C22" s="79">
        <v>0.40248114055233974</v>
      </c>
      <c r="D22" s="79">
        <v>0.40248114055233974</v>
      </c>
      <c r="E22" s="79">
        <v>0.3853560769402955</v>
      </c>
      <c r="F22" s="79">
        <v>0.3853560769402955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2.7000000000000003E-2</v>
      </c>
    </row>
    <row r="27" spans="1:8" ht="15.75" customHeight="1" x14ac:dyDescent="0.25">
      <c r="B27" s="24" t="s">
        <v>39</v>
      </c>
      <c r="C27" s="79">
        <v>1.6299999999999999E-2</v>
      </c>
    </row>
    <row r="28" spans="1:8" ht="15.75" customHeight="1" x14ac:dyDescent="0.25">
      <c r="B28" s="24" t="s">
        <v>40</v>
      </c>
      <c r="C28" s="79">
        <v>0.42579999999999996</v>
      </c>
    </row>
    <row r="29" spans="1:8" ht="15.75" customHeight="1" x14ac:dyDescent="0.25">
      <c r="B29" s="24" t="s">
        <v>41</v>
      </c>
      <c r="C29" s="79">
        <v>0.1953</v>
      </c>
    </row>
    <row r="30" spans="1:8" ht="15.75" customHeight="1" x14ac:dyDescent="0.25">
      <c r="B30" s="24" t="s">
        <v>42</v>
      </c>
      <c r="C30" s="79">
        <v>4.87E-2</v>
      </c>
    </row>
    <row r="31" spans="1:8" ht="15.75" customHeight="1" x14ac:dyDescent="0.25">
      <c r="B31" s="24" t="s">
        <v>43</v>
      </c>
      <c r="C31" s="79">
        <v>2.35E-2</v>
      </c>
    </row>
    <row r="32" spans="1:8" ht="15.75" customHeight="1" x14ac:dyDescent="0.25">
      <c r="B32" s="24" t="s">
        <v>44</v>
      </c>
      <c r="C32" s="79">
        <v>7.8000000000000005E-3</v>
      </c>
    </row>
    <row r="33" spans="2:3" ht="15.75" customHeight="1" x14ac:dyDescent="0.25">
      <c r="B33" s="24" t="s">
        <v>45</v>
      </c>
      <c r="C33" s="79">
        <v>0.13109999999999999</v>
      </c>
    </row>
    <row r="34" spans="2:3" ht="15.75" customHeight="1" x14ac:dyDescent="0.25">
      <c r="B34" s="24" t="s">
        <v>46</v>
      </c>
      <c r="C34" s="79">
        <v>0.1245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0.59805589358101663</v>
      </c>
      <c r="D2" s="80">
        <v>0.59805589358101663</v>
      </c>
      <c r="E2" s="80">
        <v>0.64064302185923905</v>
      </c>
      <c r="F2" s="80">
        <v>0.56973119165922947</v>
      </c>
      <c r="G2" s="80">
        <v>0.53435837582549384</v>
      </c>
    </row>
    <row r="3" spans="1:15" ht="15.75" customHeight="1" x14ac:dyDescent="0.25">
      <c r="A3" s="5"/>
      <c r="B3" s="11" t="s">
        <v>118</v>
      </c>
      <c r="C3" s="80">
        <v>0.19836016370846327</v>
      </c>
      <c r="D3" s="80">
        <v>0.19836016370846327</v>
      </c>
      <c r="E3" s="80">
        <v>0.15317630146709627</v>
      </c>
      <c r="F3" s="80">
        <v>0.19188863052411542</v>
      </c>
      <c r="G3" s="80">
        <v>0.21895189767578901</v>
      </c>
    </row>
    <row r="4" spans="1:15" ht="15.75" customHeight="1" x14ac:dyDescent="0.25">
      <c r="A4" s="5"/>
      <c r="B4" s="11" t="s">
        <v>116</v>
      </c>
      <c r="C4" s="81">
        <v>0.11321760079309545</v>
      </c>
      <c r="D4" s="81">
        <v>0.11321760079309545</v>
      </c>
      <c r="E4" s="81">
        <v>0.11321760079309545</v>
      </c>
      <c r="F4" s="81">
        <v>0.12048845588989973</v>
      </c>
      <c r="G4" s="81">
        <v>0.12879800457196175</v>
      </c>
    </row>
    <row r="5" spans="1:15" ht="15.75" customHeight="1" x14ac:dyDescent="0.25">
      <c r="A5" s="5"/>
      <c r="B5" s="11" t="s">
        <v>119</v>
      </c>
      <c r="C5" s="81">
        <v>9.0366341917424792E-2</v>
      </c>
      <c r="D5" s="81">
        <v>9.0366341917424792E-2</v>
      </c>
      <c r="E5" s="81">
        <v>9.2963075880569179E-2</v>
      </c>
      <c r="F5" s="81">
        <v>0.11789172192675534</v>
      </c>
      <c r="G5" s="81">
        <v>0.11789172192675534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0.73978327892523366</v>
      </c>
      <c r="D8" s="80">
        <v>0.73978327892523366</v>
      </c>
      <c r="E8" s="80">
        <v>0.74801168021739128</v>
      </c>
      <c r="F8" s="80">
        <v>0.81178867403080324</v>
      </c>
      <c r="G8" s="80">
        <v>0.83626892479049686</v>
      </c>
    </row>
    <row r="9" spans="1:15" ht="15.75" customHeight="1" x14ac:dyDescent="0.25">
      <c r="B9" s="7" t="s">
        <v>121</v>
      </c>
      <c r="C9" s="80">
        <v>9.7854931074766394E-2</v>
      </c>
      <c r="D9" s="80">
        <v>9.7854931074766394E-2</v>
      </c>
      <c r="E9" s="80">
        <v>0.12752361978260873</v>
      </c>
      <c r="F9" s="80">
        <v>9.0309008969196927E-2</v>
      </c>
      <c r="G9" s="80">
        <v>8.8922263209503249E-2</v>
      </c>
    </row>
    <row r="10" spans="1:15" ht="15.75" customHeight="1" x14ac:dyDescent="0.25">
      <c r="B10" s="7" t="s">
        <v>122</v>
      </c>
      <c r="C10" s="81">
        <v>6.6675716999999995E-2</v>
      </c>
      <c r="D10" s="81">
        <v>6.6675716999999995E-2</v>
      </c>
      <c r="E10" s="81">
        <v>4.9563385999999994E-2</v>
      </c>
      <c r="F10" s="81">
        <v>5.4927186999999995E-2</v>
      </c>
      <c r="G10" s="81">
        <v>3.9214022666666681E-2</v>
      </c>
    </row>
    <row r="11" spans="1:15" ht="15.75" customHeight="1" x14ac:dyDescent="0.25">
      <c r="B11" s="7" t="s">
        <v>123</v>
      </c>
      <c r="C11" s="81">
        <v>9.5686072999999996E-2</v>
      </c>
      <c r="D11" s="81">
        <v>9.5686072999999996E-2</v>
      </c>
      <c r="E11" s="81">
        <v>7.4901313999999997E-2</v>
      </c>
      <c r="F11" s="81">
        <v>4.297513E-2</v>
      </c>
      <c r="G11" s="81">
        <v>3.5594789333333335E-2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0.53595509000000008</v>
      </c>
      <c r="D14" s="82">
        <v>0.52223759440999995</v>
      </c>
      <c r="E14" s="82">
        <v>0.52223759440999995</v>
      </c>
      <c r="F14" s="82">
        <v>0.30702391420699998</v>
      </c>
      <c r="G14" s="82">
        <v>0.30702391420699998</v>
      </c>
      <c r="H14" s="83">
        <v>0.16699999999999998</v>
      </c>
      <c r="I14" s="83">
        <v>0.20273015873015876</v>
      </c>
      <c r="J14" s="83">
        <v>0.20109523809523813</v>
      </c>
      <c r="K14" s="83">
        <v>0.21744444444444447</v>
      </c>
      <c r="L14" s="83">
        <v>0.32756740624699998</v>
      </c>
      <c r="M14" s="83">
        <v>0.20663573801849999</v>
      </c>
      <c r="N14" s="83">
        <v>0.24170008003700003</v>
      </c>
      <c r="O14" s="83">
        <v>0.21144658601949998</v>
      </c>
    </row>
    <row r="15" spans="1:15" ht="15.75" customHeight="1" x14ac:dyDescent="0.25">
      <c r="B15" s="16" t="s">
        <v>68</v>
      </c>
      <c r="C15" s="80">
        <f>iron_deficiency_anaemia*C14</f>
        <v>0.28488092373156337</v>
      </c>
      <c r="D15" s="80">
        <f t="shared" ref="D15:O15" si="0">iron_deficiency_anaemia*D14</f>
        <v>0.27758954262916002</v>
      </c>
      <c r="E15" s="80">
        <f t="shared" si="0"/>
        <v>0.27758954262916002</v>
      </c>
      <c r="F15" s="80">
        <f t="shared" si="0"/>
        <v>0.16319512197742242</v>
      </c>
      <c r="G15" s="80">
        <f t="shared" si="0"/>
        <v>0.16319512197742242</v>
      </c>
      <c r="H15" s="80">
        <f t="shared" si="0"/>
        <v>8.8766979082465794E-2</v>
      </c>
      <c r="I15" s="80">
        <f t="shared" si="0"/>
        <v>0.10775894466697589</v>
      </c>
      <c r="J15" s="80">
        <f t="shared" si="0"/>
        <v>0.10688992091966157</v>
      </c>
      <c r="K15" s="80">
        <f t="shared" si="0"/>
        <v>0.11558015839280478</v>
      </c>
      <c r="L15" s="80">
        <f t="shared" si="0"/>
        <v>0.17411478502050912</v>
      </c>
      <c r="M15" s="80">
        <f t="shared" si="0"/>
        <v>0.10983491158310223</v>
      </c>
      <c r="N15" s="80">
        <f t="shared" si="0"/>
        <v>0.12847296975374067</v>
      </c>
      <c r="O15" s="80">
        <f t="shared" si="0"/>
        <v>0.1123920639416273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0.39700000000000002</v>
      </c>
      <c r="D2" s="81">
        <v>0.39700000000000002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0.153</v>
      </c>
      <c r="D3" s="81">
        <v>0.30099999999999999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0.13100000000000001</v>
      </c>
      <c r="D4" s="81">
        <v>0.13100000000000001</v>
      </c>
      <c r="E4" s="81">
        <v>0.52800000000000002</v>
      </c>
      <c r="F4" s="81">
        <v>0.75549999999999995</v>
      </c>
      <c r="G4" s="81">
        <v>0</v>
      </c>
    </row>
    <row r="5" spans="1:7" x14ac:dyDescent="0.25">
      <c r="B5" s="43" t="s">
        <v>169</v>
      </c>
      <c r="C5" s="80">
        <f>1-SUM(C2:C4)</f>
        <v>0.31899999999999995</v>
      </c>
      <c r="D5" s="80">
        <f>1-SUM(D2:D4)</f>
        <v>0.17100000000000004</v>
      </c>
      <c r="E5" s="80">
        <f>1-SUM(E2:E4)</f>
        <v>0.47199999999999998</v>
      </c>
      <c r="F5" s="80">
        <f>1-SUM(F2:F4)</f>
        <v>0.24450000000000005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0.19236</v>
      </c>
      <c r="D2" s="144">
        <v>0.18675</v>
      </c>
      <c r="E2" s="144">
        <v>0.18123</v>
      </c>
      <c r="F2" s="144">
        <v>0.17584</v>
      </c>
      <c r="G2" s="144">
        <v>0.17047000000000001</v>
      </c>
      <c r="H2" s="144">
        <v>0.16528999999999999</v>
      </c>
      <c r="I2" s="144">
        <v>0.16021999999999997</v>
      </c>
      <c r="J2" s="144">
        <v>0.15536</v>
      </c>
      <c r="K2" s="144">
        <v>0.15065000000000001</v>
      </c>
      <c r="L2" s="144">
        <v>0.14618999999999999</v>
      </c>
      <c r="M2" s="144">
        <v>0.14198</v>
      </c>
      <c r="N2" s="144">
        <v>0.13799</v>
      </c>
      <c r="O2" s="144">
        <v>0.13412000000000002</v>
      </c>
      <c r="P2" s="144">
        <v>0.13031000000000001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5.4640000000000001E-2</v>
      </c>
      <c r="D4" s="144">
        <v>5.4029999999999995E-2</v>
      </c>
      <c r="E4" s="144">
        <v>5.3460000000000001E-2</v>
      </c>
      <c r="F4" s="144">
        <v>5.2919999999999995E-2</v>
      </c>
      <c r="G4" s="144">
        <v>5.2430000000000004E-2</v>
      </c>
      <c r="H4" s="144">
        <v>5.1929999999999997E-2</v>
      </c>
      <c r="I4" s="144">
        <v>5.1459999999999999E-2</v>
      </c>
      <c r="J4" s="144">
        <v>5.0979999999999998E-2</v>
      </c>
      <c r="K4" s="144">
        <v>5.0519999999999995E-2</v>
      </c>
      <c r="L4" s="144">
        <v>5.0029999999999998E-2</v>
      </c>
      <c r="M4" s="144">
        <v>4.9520000000000002E-2</v>
      </c>
      <c r="N4" s="144">
        <v>4.9000000000000002E-2</v>
      </c>
      <c r="O4" s="144">
        <v>4.8499999999999995E-2</v>
      </c>
      <c r="P4" s="144">
        <v>4.8029999999999996E-2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0.18619552912614334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0.1070321467201929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0.12507352508249278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0.39700000000000002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0.67966666666666653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19.219000000000001</v>
      </c>
      <c r="D13" s="143">
        <v>18.274999999999999</v>
      </c>
      <c r="E13" s="143">
        <v>17.376000000000001</v>
      </c>
      <c r="F13" s="143">
        <v>16.544</v>
      </c>
      <c r="G13" s="143">
        <v>15.747999999999999</v>
      </c>
      <c r="H13" s="143">
        <v>15.019</v>
      </c>
      <c r="I13" s="143">
        <v>14.337</v>
      </c>
      <c r="J13" s="143">
        <v>13.71</v>
      </c>
      <c r="K13" s="143">
        <v>13.125999999999999</v>
      </c>
      <c r="L13" s="143">
        <v>12.576000000000001</v>
      </c>
      <c r="M13" s="143">
        <v>12.093</v>
      </c>
      <c r="N13" s="143">
        <v>10.823</v>
      </c>
      <c r="O13" s="143">
        <v>10.36</v>
      </c>
      <c r="P13" s="143">
        <v>9.9239999999999995</v>
      </c>
    </row>
    <row r="14" spans="1:16" x14ac:dyDescent="0.25">
      <c r="B14" s="16" t="s">
        <v>170</v>
      </c>
      <c r="C14" s="143">
        <f>maternal_mortality</f>
        <v>0.33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0.32500000000000001</v>
      </c>
      <c r="E2" s="92">
        <f>food_insecure</f>
        <v>0.32500000000000001</v>
      </c>
      <c r="F2" s="92">
        <f>food_insecure</f>
        <v>0.32500000000000001</v>
      </c>
      <c r="G2" s="92">
        <f>food_insecure</f>
        <v>0.32500000000000001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0.32500000000000001</v>
      </c>
      <c r="F5" s="92">
        <f>food_insecure</f>
        <v>0.32500000000000001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0.1692595326823074</v>
      </c>
      <c r="D7" s="92">
        <f>diarrhoea_1_5mo/26</f>
        <v>0.15882423505538459</v>
      </c>
      <c r="E7" s="92">
        <f>diarrhoea_6_11mo/26</f>
        <v>0.15882423505538459</v>
      </c>
      <c r="F7" s="92">
        <f>diarrhoea_12_23mo/26</f>
        <v>8.5214379394230766E-2</v>
      </c>
      <c r="G7" s="92">
        <f>diarrhoea_24_59mo/26</f>
        <v>8.5214379394230766E-2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0.32500000000000001</v>
      </c>
      <c r="F8" s="92">
        <f>food_insecure</f>
        <v>0.32500000000000001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0.68099999999999994</v>
      </c>
      <c r="E9" s="92">
        <f>IF(ISBLANK(comm_deliv), frac_children_health_facility,1)</f>
        <v>0.68099999999999994</v>
      </c>
      <c r="F9" s="92">
        <f>IF(ISBLANK(comm_deliv), frac_children_health_facility,1)</f>
        <v>0.68099999999999994</v>
      </c>
      <c r="G9" s="92">
        <f>IF(ISBLANK(comm_deliv), frac_children_health_facility,1)</f>
        <v>0.68099999999999994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0.1692595326823074</v>
      </c>
      <c r="D11" s="92">
        <f>diarrhoea_1_5mo/26</f>
        <v>0.15882423505538459</v>
      </c>
      <c r="E11" s="92">
        <f>diarrhoea_6_11mo/26</f>
        <v>0.15882423505538459</v>
      </c>
      <c r="F11" s="92">
        <f>diarrhoea_12_23mo/26</f>
        <v>8.5214379394230766E-2</v>
      </c>
      <c r="G11" s="92">
        <f>diarrhoea_24_59mo/26</f>
        <v>8.5214379394230766E-2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0.32500000000000001</v>
      </c>
      <c r="I14" s="92">
        <f>food_insecure</f>
        <v>0.32500000000000001</v>
      </c>
      <c r="J14" s="92">
        <f>food_insecure</f>
        <v>0.32500000000000001</v>
      </c>
      <c r="K14" s="92">
        <f>food_insecure</f>
        <v>0.32500000000000001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0.82799999999999996</v>
      </c>
      <c r="I17" s="92">
        <f>frac_PW_health_facility</f>
        <v>0.82799999999999996</v>
      </c>
      <c r="J17" s="92">
        <f>frac_PW_health_facility</f>
        <v>0.82799999999999996</v>
      </c>
      <c r="K17" s="92">
        <f>frac_PW_health_facility</f>
        <v>0.82799999999999996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</v>
      </c>
      <c r="M23" s="92">
        <f>famplan_unmet_need</f>
        <v>0.2</v>
      </c>
      <c r="N23" s="92">
        <f>famplan_unmet_need</f>
        <v>0.2</v>
      </c>
      <c r="O23" s="92">
        <f>famplan_unmet_need</f>
        <v>0.2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0.10269437046051048</v>
      </c>
      <c r="M24" s="92">
        <f>(1-food_insecure)*(0.49)+food_insecure*(0.7)</f>
        <v>0.55824999999999991</v>
      </c>
      <c r="N24" s="92">
        <f>(1-food_insecure)*(0.49)+food_insecure*(0.7)</f>
        <v>0.55824999999999991</v>
      </c>
      <c r="O24" s="92">
        <f>(1-food_insecure)*(0.49)+food_insecure*(0.7)</f>
        <v>0.55824999999999991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4.4011873054504498E-2</v>
      </c>
      <c r="M25" s="92">
        <f>(1-food_insecure)*(0.21)+food_insecure*(0.3)</f>
        <v>0.23925000000000002</v>
      </c>
      <c r="N25" s="92">
        <f>(1-food_insecure)*(0.21)+food_insecure*(0.3)</f>
        <v>0.23925000000000002</v>
      </c>
      <c r="O25" s="92">
        <f>(1-food_insecure)*(0.21)+food_insecure*(0.3)</f>
        <v>0.23925000000000002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3.7251428604126065E-2</v>
      </c>
      <c r="M26" s="92">
        <f>(1-food_insecure)*(0.3)</f>
        <v>0.20250000000000001</v>
      </c>
      <c r="N26" s="92">
        <f>(1-food_insecure)*(0.3)</f>
        <v>0.20250000000000001</v>
      </c>
      <c r="O26" s="92">
        <f>(1-food_insecure)*(0.3)</f>
        <v>0.20250000000000001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0.81604232788085906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2020-03-24T06:49:02Z</dcterms:modified>
</cp:coreProperties>
</file>